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30" windowWidth="15480" windowHeight="10830" activeTab="0"/>
  </bookViews>
  <sheets>
    <sheet name="Feuil1" sheetId="1" r:id="rId1"/>
    <sheet name="Feuil2" sheetId="2" r:id="rId2"/>
    <sheet name="Feuil3" sheetId="3" r:id="rId3"/>
  </sheets>
  <definedNames>
    <definedName name="ADDLUBCORSE">'Feuil1'!$R$398</definedName>
    <definedName name="ADDLUBMETRO">'Feuil1'!$Q$398</definedName>
    <definedName name="ADDLUBTGAPCORSE">'Feuil1'!$R$397</definedName>
    <definedName name="ADDLUBTGAPMETRO">'Feuil1'!$Q$397</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'Feuil1'!$AD$448:$AH$502</definedName>
    <definedName name="tablocpssp">'Feuil1'!$AD$513:$AI$550</definedName>
    <definedName name="tablocpsspetrenvois">'Feuil1'!$AD$513:$AJ$551</definedName>
    <definedName name="tablogeneral">'Feuil1'!$A$1:$R$432</definedName>
    <definedName name="tablogeneraletrenvois">'Feuil1'!$A$1:$Z$431</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'Feuil1'!$AH$451</definedName>
    <definedName name="TVACARBUAERONEFmetro">'Feuil1'!$AG$451</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 !$#REF !"</definedName>
    <definedName name="TVAFLHTSAUTREMETRO">"$Feuil1.$#REF !$#REF !"</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AZOLAUTRECORSE">'Feuil1'!$R$160</definedName>
    <definedName name="TVAGAZOLAUTREMETRO">'Feuil1'!$Q$160</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'Feuil1'!$A$1:$R$431</definedName>
  </definedNames>
  <calcPr fullCalcOnLoad="1"/>
</workbook>
</file>

<file path=xl/sharedStrings.xml><?xml version="1.0" encoding="utf-8"?>
<sst xmlns="http://schemas.openxmlformats.org/spreadsheetml/2006/main" count="1791" uniqueCount="1791">
  <si>
    <t xml:space="preserve">               * * Gazole destiné à un usage autre que carburant ou combustible  (15)(30)(32)……………..</t>
  </si>
  <si>
    <t>Litre</t>
  </si>
  <si>
    <t xml:space="preserve"> C (18)</t>
  </si>
  <si>
    <t xml:space="preserve"> O2 (21)</t>
  </si>
  <si>
    <r>
      <rPr>
        <sz val="7"/>
        <rFont val="Antique Olive (W1)"/>
        <family val="0"/>
      </rPr>
      <t>Hl</t>
    </r>
  </si>
  <si>
    <t>Ex</t>
  </si>
  <si>
    <t>27 10.19.49.00.0.9 A</t>
  </si>
  <si>
    <t xml:space="preserve">               * * Autre (5 bis) (11) (21)(26)(30).(32)...........................................................................................................................</t>
  </si>
  <si>
    <t>Litre</t>
  </si>
  <si>
    <t xml:space="preserve"> C (18)</t>
  </si>
  <si>
    <t xml:space="preserve"> O2 (21)</t>
  </si>
  <si>
    <r>
      <rPr>
        <sz val="7"/>
        <rFont val="Antique Olive (W1)"/>
        <family val="0"/>
      </rPr>
      <t>Hl</t>
    </r>
  </si>
  <si>
    <r>
      <rPr>
        <i/>
        <sz val="7"/>
        <rFont val="Antique Olive (W1)"/>
        <family val="0"/>
      </rPr>
      <t xml:space="preserve"> - - - -    Fuels-oils :</t>
    </r>
  </si>
  <si>
    <t>27 10.19.51.00.0.0 B</t>
  </si>
  <si>
    <t xml:space="preserve"> - - - - - destinés à subir un traitement défini (3) (30)(32)..............................................................................................</t>
  </si>
  <si>
    <t>Ex</t>
  </si>
  <si>
    <t xml:space="preserve"> C (18)</t>
  </si>
  <si>
    <t xml:space="preserve"> . . .</t>
  </si>
  <si>
    <t>100 Kg</t>
  </si>
  <si>
    <t>Ex</t>
  </si>
  <si>
    <t>27 10.19.55.00.0.0 J</t>
  </si>
  <si>
    <t xml:space="preserve"> - - - - - destinés à subir une transformation chimique par un traitement autre que</t>
  </si>
  <si>
    <t xml:space="preserve">        ceux définis pour la sous position 27 10 19 51 (3)(30) (32)...............................................................................................</t>
  </si>
  <si>
    <t>Ex</t>
  </si>
  <si>
    <t xml:space="preserve"> C (18)</t>
  </si>
  <si>
    <t xml:space="preserve"> . . .</t>
  </si>
  <si>
    <t>100 Kg</t>
  </si>
  <si>
    <t>Ex</t>
  </si>
  <si>
    <t xml:space="preserve"> - - - - - destinés à d'autres usages :</t>
  </si>
  <si>
    <t xml:space="preserve">          * D'une teneur en poids de soufre &lt; ou = 1% :</t>
  </si>
  <si>
    <t>27 10.19.61.00.0.1 P</t>
  </si>
  <si>
    <t xml:space="preserve">                    * *  destinés à être utilisés comme carburant (30)(32)....................................</t>
  </si>
  <si>
    <t xml:space="preserve"> C (18)</t>
  </si>
  <si>
    <t xml:space="preserve"> O2 (21)</t>
  </si>
  <si>
    <r>
      <rPr>
        <sz val="7"/>
        <rFont val="Antique Olive (W1)"/>
        <family val="0"/>
      </rPr>
      <t>Hl</t>
    </r>
  </si>
  <si>
    <t>. . .</t>
  </si>
  <si>
    <t>27 10.19.61.00.0.3 L</t>
  </si>
  <si>
    <t xml:space="preserve">                    * *  destinés à être utilisés comme combustible pour la production </t>
  </si>
  <si>
    <t xml:space="preserve">                          d'alumine (10)(30)(32)………………………………….........…</t>
  </si>
  <si>
    <t xml:space="preserve"> C (18)</t>
  </si>
  <si>
    <t xml:space="preserve"> O2 (21)</t>
  </si>
  <si>
    <t>100 Kg</t>
  </si>
  <si>
    <t>Ex</t>
  </si>
  <si>
    <t>27 10.19.61.00.0.5 R</t>
  </si>
  <si>
    <t xml:space="preserve">                    * *  destinés à être utilisés comme combustible, autres (26)(30)(32)................………......................</t>
  </si>
  <si>
    <t>. . .</t>
  </si>
  <si>
    <t>100 Kg</t>
  </si>
  <si>
    <t>27 10.19.61.00.0.9 C</t>
  </si>
  <si>
    <t xml:space="preserve">                    * *   destinés à un autre usage que carburant ou combustible (15).(30)(32)...………………......</t>
  </si>
  <si>
    <t xml:space="preserve"> C (18)</t>
  </si>
  <si>
    <t xml:space="preserve"> O2 (21)</t>
  </si>
  <si>
    <t>100 Kg</t>
  </si>
  <si>
    <t>Ex</t>
  </si>
  <si>
    <t>. . .</t>
  </si>
  <si>
    <t xml:space="preserve">          * D'une teneur en poids de soufre &gt; 1% mais &lt; ou = 2% :</t>
  </si>
  <si>
    <t>27 10.19.63.00.0.1 V</t>
  </si>
  <si>
    <t xml:space="preserve">                    * *  destiné à être utilisé comme carburant  (27)(30)(32)…................................</t>
  </si>
  <si>
    <t xml:space="preserve"> C (18)</t>
  </si>
  <si>
    <t xml:space="preserve"> O2 (21)</t>
  </si>
  <si>
    <r>
      <rPr>
        <sz val="7"/>
        <rFont val="Antique Olive (W1)"/>
        <family val="0"/>
      </rPr>
      <t>Hl</t>
    </r>
  </si>
  <si>
    <t>. . .</t>
  </si>
  <si>
    <t>27 10.19.63.00.0.3 Y</t>
  </si>
  <si>
    <t xml:space="preserve">                    * *   destinés à être utilisés comme combustible pour la production </t>
  </si>
  <si>
    <t xml:space="preserve">                          d'alumine (10)(27)(30)(32)…………………………………….</t>
  </si>
  <si>
    <t xml:space="preserve"> C (18)</t>
  </si>
  <si>
    <t xml:space="preserve"> O2 (21)</t>
  </si>
  <si>
    <t>100 Kg</t>
  </si>
  <si>
    <t>Ex</t>
  </si>
  <si>
    <t>27 10.19.63.00.0.5 T</t>
  </si>
  <si>
    <t xml:space="preserve">                    * *  destinés à être utilisés comme combustibles, autres (26)(27)(30)(32)...................................…</t>
  </si>
  <si>
    <t>. . .</t>
  </si>
  <si>
    <t>100 Kg</t>
  </si>
  <si>
    <t>27 10.19.63.00.0.9 Z</t>
  </si>
  <si>
    <t xml:space="preserve">                    * *  destinés à un usage autre que carburant ou combustible  (15)(30)(32)...................................................................................................................</t>
  </si>
  <si>
    <t xml:space="preserve"> C (18)</t>
  </si>
  <si>
    <t xml:space="preserve"> O2 (21)</t>
  </si>
  <si>
    <t>100 Kg</t>
  </si>
  <si>
    <t>Ex</t>
  </si>
  <si>
    <t>. . .</t>
  </si>
  <si>
    <t xml:space="preserve">          * D'une teneur en poids de soufre &gt;2% mais &lt; ou = 2,8% :</t>
  </si>
  <si>
    <t>27 10.19.65.00.0.1 B</t>
  </si>
  <si>
    <t xml:space="preserve">                    * *  destiné à être utilisé comme carburant  (27)(30)(32)…..................................</t>
  </si>
  <si>
    <t xml:space="preserve"> C (18)</t>
  </si>
  <si>
    <t xml:space="preserve"> O2 (21)</t>
  </si>
  <si>
    <r>
      <rPr>
        <sz val="7"/>
        <rFont val="Antique Olive (W1)"/>
        <family val="0"/>
      </rPr>
      <t>Hl</t>
    </r>
  </si>
  <si>
    <t>. . .</t>
  </si>
  <si>
    <t>27 10.19.65.00.0.5 X</t>
  </si>
  <si>
    <t xml:space="preserve">                    * *  destinés à être utilisés comme combustible, autre (26)(27)(30) (32)….............................................................</t>
  </si>
  <si>
    <t>. . .</t>
  </si>
  <si>
    <t>100 Kg</t>
  </si>
  <si>
    <t>27 10.19.65.00.0.9 E</t>
  </si>
  <si>
    <t xml:space="preserve">                    * *  destinés à un usage autre que carburant ou combustible (15) (30)(32)..…</t>
  </si>
  <si>
    <t xml:space="preserve"> C (18)</t>
  </si>
  <si>
    <t xml:space="preserve"> O2 (21)</t>
  </si>
  <si>
    <t>100 Kg</t>
  </si>
  <si>
    <t>Ex</t>
  </si>
  <si>
    <t>. . .</t>
  </si>
  <si>
    <t xml:space="preserve">          * D'une teneur en poids de soufre &gt; 2,8% :</t>
  </si>
  <si>
    <t>27 10.19.69.00.0.1 J</t>
  </si>
  <si>
    <t xml:space="preserve">                    * *  destiné à être utilisé comme carburant (27)(30)(32)…......................</t>
  </si>
  <si>
    <t xml:space="preserve"> C (18)</t>
  </si>
  <si>
    <t xml:space="preserve"> O2 (21)</t>
  </si>
  <si>
    <r>
      <rPr>
        <sz val="7"/>
        <rFont val="Antique Olive (W1)"/>
        <family val="0"/>
      </rPr>
      <t>Hl</t>
    </r>
  </si>
  <si>
    <t>. . .</t>
  </si>
  <si>
    <t>27 10.19.69.00.0.5 W</t>
  </si>
  <si>
    <t xml:space="preserve">                    * *  destinés à être utilisés comme combustible, autre (26)(27)(30)(32)..................................................…</t>
  </si>
  <si>
    <t>. . .</t>
  </si>
  <si>
    <t>100 Kg</t>
  </si>
  <si>
    <t>27 10.19.69.00.0.9 D</t>
  </si>
  <si>
    <t xml:space="preserve">                    * *   destinés à un usage autre que carburant ou combustible  (15) (30)(32)...............................................................................................................................</t>
  </si>
  <si>
    <t xml:space="preserve"> C (18)</t>
  </si>
  <si>
    <t xml:space="preserve"> O2 (21)</t>
  </si>
  <si>
    <t>100 Kg</t>
  </si>
  <si>
    <t>Ex</t>
  </si>
  <si>
    <t>. . .</t>
  </si>
  <si>
    <t xml:space="preserve"> - - - - Huiles lubrifiantes et autres :</t>
  </si>
  <si>
    <t>27 10.19.71.00.0.0 F</t>
  </si>
  <si>
    <t xml:space="preserve"> - - - - - destinées à subir un traitement défini (3) (30)...............................................................</t>
  </si>
  <si>
    <t>Ex</t>
  </si>
  <si>
    <t>100 Kg</t>
  </si>
  <si>
    <t>Ex</t>
  </si>
  <si>
    <t>27 10.19.75.00.0.0 Z</t>
  </si>
  <si>
    <t xml:space="preserve"> - - - - - destinées à subir une transformation chimique par un traitement autre que ceux</t>
  </si>
  <si>
    <t xml:space="preserve"> </t>
  </si>
  <si>
    <t xml:space="preserve">        définis pour la sous position 27 10 19 71 (3) (30)..................................................................................................</t>
  </si>
  <si>
    <t>Ex</t>
  </si>
  <si>
    <t>100 Kg</t>
  </si>
  <si>
    <t>Ex</t>
  </si>
  <si>
    <t xml:space="preserve"> - - - - - destinées à d'autres usages :</t>
  </si>
  <si>
    <t xml:space="preserve"> </t>
  </si>
  <si>
    <t xml:space="preserve">           * Huiles pour moteurs, compresseurs et turbines</t>
  </si>
  <si>
    <t>27 10.19.81.00.0.1 Y</t>
  </si>
  <si>
    <t xml:space="preserve">               * * énumérées à l'annexe I du décret du 17 juin 1999 modifié pris pour l'application de la taxe générale sur les activités polluantes (26)(28) (28 bis) (28 ter)(30)</t>
  </si>
  <si>
    <t>100 Kg</t>
  </si>
  <si>
    <t>Ex</t>
  </si>
  <si>
    <t>TGAP</t>
  </si>
  <si>
    <t>A/B/C</t>
  </si>
  <si>
    <t>27 10.19.81.00.0.9 P</t>
  </si>
  <si>
    <t xml:space="preserve">               * * autres (26)(30)…………………………………………………………………………………………………….</t>
  </si>
  <si>
    <t>100 Kg</t>
  </si>
  <si>
    <t>Ex</t>
  </si>
  <si>
    <t xml:space="preserve">           * Liquides pour transmission hydrauliques</t>
  </si>
  <si>
    <t>g</t>
  </si>
  <si>
    <t>27 10.19.83.00.0.1 G</t>
  </si>
  <si>
    <t xml:space="preserve">               * * énumérées à l'annexe I du décret du 17 juin 1999 modifié pris pour l'application de la taxe générale sur les activités polluantes(26) (28) (28 bis) (28 ter)(30)</t>
  </si>
  <si>
    <t>100 Kg</t>
  </si>
  <si>
    <t>Ex</t>
  </si>
  <si>
    <t>TGAP</t>
  </si>
  <si>
    <t>A/B/C</t>
  </si>
  <si>
    <t>27 10.19.83.00.0.9 V</t>
  </si>
  <si>
    <t xml:space="preserve">               * * autres  (26)(30)…………………………………………………………………………………………………….</t>
  </si>
  <si>
    <t>100 Kg</t>
  </si>
  <si>
    <t>Ex</t>
  </si>
  <si>
    <t>27 10.19.85.00.0.0 T</t>
  </si>
  <si>
    <t xml:space="preserve">           * Huiles blanches, paraffine liquide………………………………………………………………………..</t>
  </si>
  <si>
    <t>100 Kg</t>
  </si>
  <si>
    <t>Ex</t>
  </si>
  <si>
    <t xml:space="preserve">           * Huiles pour engrenages</t>
  </si>
  <si>
    <t>27 10.19.87.00.0.1 C</t>
  </si>
  <si>
    <t xml:space="preserve">               * * énumérées à l'annexe I du décret du 17 juin 1999 modifié pris pour l'application de la taxe générale sur les activités polluantes (26)(28) (28 bis) (28 ter)(30)</t>
  </si>
  <si>
    <t>100 Kg</t>
  </si>
  <si>
    <t>Ex</t>
  </si>
  <si>
    <t>TGAP</t>
  </si>
  <si>
    <t>A/B/C</t>
  </si>
  <si>
    <t>27 10.19.87.00.0.9 M</t>
  </si>
  <si>
    <t xml:space="preserve">               * * autres (26)(30)…………………………………………………………………………………………………….</t>
  </si>
  <si>
    <t>100 Kg</t>
  </si>
  <si>
    <t>Ex</t>
  </si>
  <si>
    <r>
      <rPr>
        <sz val="7"/>
        <rFont val="Antique Olive (W1)"/>
        <family val="0"/>
      </rPr>
      <t xml:space="preserve">           * Huiles pour usiner les métaux, huiles de démoulage, huiles anticorrosives</t>
    </r>
  </si>
  <si>
    <t>27 10.19.91.00.0.1 E</t>
  </si>
  <si>
    <t xml:space="preserve">               * * énumérées à l'annexe I du décret du 17 juin 1999 modifié pris pour l'application de la taxe générale sur les activités polluantes(26) (28) (28 bis) (28 ter)(30)</t>
  </si>
  <si>
    <t>100 Kg</t>
  </si>
  <si>
    <t>Ex</t>
  </si>
  <si>
    <t>TGAP</t>
  </si>
  <si>
    <t>A/B/C</t>
  </si>
  <si>
    <t>27 10.19.91.00.0.9 Q</t>
  </si>
  <si>
    <t xml:space="preserve">               * * autres (26)(30)…………………………………………………………………………………………………….</t>
  </si>
  <si>
    <t>100 Kg</t>
  </si>
  <si>
    <t>Ex</t>
  </si>
  <si>
    <t xml:space="preserve">           *  Huiles isolantes</t>
  </si>
  <si>
    <t>27 10.19.93.00.0.1 S</t>
  </si>
  <si>
    <t xml:space="preserve">               * * énumérées à l'annexe I du décret du 17 juin 1999 modifié pris pour l'application de la taxe générale sur les activités polluantes (26)(28) (28 bis) (28 ter)(30)</t>
  </si>
  <si>
    <t>100 Kg</t>
  </si>
  <si>
    <t>Ex</t>
  </si>
  <si>
    <t>TGAP</t>
  </si>
  <si>
    <t>A/B/C</t>
  </si>
  <si>
    <t>27 10.19.93.00.0.9 H</t>
  </si>
  <si>
    <t xml:space="preserve">               * * autres (26)(30)…………………………………………………………………………………………………….</t>
  </si>
  <si>
    <t>100 Kg</t>
  </si>
  <si>
    <t>Ex</t>
  </si>
  <si>
    <t xml:space="preserve">           *  Autres huiles lubrifiantes et autres</t>
  </si>
  <si>
    <t>27 10.19.99.00.0.1 T</t>
  </si>
  <si>
    <t xml:space="preserve">               * * énumérées à l'annexe I du décret du 17 juin 1999 modifié pris pour l'application de la taxe générale sur les activités polluantes(26) (28) (28 bis) (28 ter)(30)</t>
  </si>
  <si>
    <t>100 Kg</t>
  </si>
  <si>
    <t>Ex</t>
  </si>
  <si>
    <t>TGAP</t>
  </si>
  <si>
    <t>A/B/C</t>
  </si>
  <si>
    <t>27 10.19.99.00.0.9 L</t>
  </si>
  <si>
    <t xml:space="preserve">               * * autres (13) (26)(30)…………………………………………………………………………………………………….</t>
  </si>
  <si>
    <t>100 Kg</t>
  </si>
  <si>
    <t>Ex</t>
  </si>
  <si>
    <t>- Déchets d'huiles :</t>
  </si>
  <si>
    <r>
      <rPr>
        <sz val="7"/>
        <rFont val="Antique Olive (W1)"/>
        <family val="0"/>
      </rPr>
      <t xml:space="preserve">- - contenant des diphényles polychlorés (PCB), des terphényles polychlorés (PCT) </t>
    </r>
  </si>
  <si>
    <r>
      <rPr>
        <sz val="7"/>
        <rFont val="Antique Olive (W1)"/>
        <family val="0"/>
      </rPr>
      <t>ou des diphényles polybromés (PBB) ;</t>
    </r>
  </si>
  <si>
    <t>27 10.91.00.00.0.1 S</t>
  </si>
  <si>
    <t xml:space="preserve">- - - destinés à un usage autre que carburant ou combustible ou destinés à </t>
  </si>
  <si>
    <t xml:space="preserve">une installation habilitée à brûler des déchets d'hydrocarbures, ouvrant droit </t>
  </si>
  <si>
    <t>à exonération (33)</t>
  </si>
  <si>
    <t>. . .</t>
  </si>
  <si>
    <t>100 Kg</t>
  </si>
  <si>
    <t>Ex</t>
  </si>
  <si>
    <t>. . .</t>
  </si>
  <si>
    <t>TVO</t>
  </si>
  <si>
    <t>27 10.91.00.00.0.9 H</t>
  </si>
  <si>
    <t>- - - autres……………………………………………………………………………………………………………………………………………………………</t>
  </si>
  <si>
    <t>. . .</t>
  </si>
  <si>
    <t>100 Kg</t>
  </si>
  <si>
    <t>. . .</t>
  </si>
  <si>
    <t>TVO</t>
  </si>
  <si>
    <t>- - autres</t>
  </si>
  <si>
    <t>27 10.99.00.00.0.1 B</t>
  </si>
  <si>
    <t xml:space="preserve">- - - destinés à un usage autre que carburant ou combustible ou destinés à </t>
  </si>
  <si>
    <t xml:space="preserve">une installation habilitée à brûler des déchets d'hydrocarbures, ouvrant droit </t>
  </si>
  <si>
    <t xml:space="preserve">à exonération (33) </t>
  </si>
  <si>
    <t>. . .</t>
  </si>
  <si>
    <t>100 Kg</t>
  </si>
  <si>
    <t>Ex</t>
  </si>
  <si>
    <t>. . .</t>
  </si>
  <si>
    <t>TVO</t>
  </si>
  <si>
    <t>27 10.99.00.00.0.9 E</t>
  </si>
  <si>
    <t>- - - autres……………………………………………………………………………………………………………………………………………………………</t>
  </si>
  <si>
    <t>. . .</t>
  </si>
  <si>
    <t>100 Kg</t>
  </si>
  <si>
    <t>. . .</t>
  </si>
  <si>
    <t>TVO</t>
  </si>
  <si>
    <t>Gaz de pétrole et autres hydrocarbures gazeux :</t>
  </si>
  <si>
    <t xml:space="preserve"> - Liquéfiés :</t>
  </si>
  <si>
    <t xml:space="preserve"> - - Propane :</t>
  </si>
  <si>
    <t xml:space="preserve"> - - - Propane d'une pureté égale ou supérieure à 99% :</t>
  </si>
  <si>
    <t>27 11.12.11.00.0.0 L</t>
  </si>
  <si>
    <r>
      <rPr>
        <sz val="7"/>
        <rFont val="Antique Olive (W1)"/>
        <family val="0"/>
      </rPr>
      <t xml:space="preserve"> - - - - destiné à ëtre utilisé comme carburant ou comme combustible (26)(32)……………………………………………………………………………..</t>
    </r>
  </si>
  <si>
    <t>. . .</t>
  </si>
  <si>
    <t>. . .</t>
  </si>
  <si>
    <t>27 11.12.19.00.0.0 C</t>
  </si>
  <si>
    <t xml:space="preserve"> - - - - destiné à d'autres usages (32)…...……………………………………………………...……………………………………………………..</t>
  </si>
  <si>
    <t>. . .</t>
  </si>
  <si>
    <t>Ex</t>
  </si>
  <si>
    <t>Ex</t>
  </si>
  <si>
    <t>Ex</t>
  </si>
  <si>
    <t>. . .</t>
  </si>
  <si>
    <t xml:space="preserve"> - - - Autre : </t>
  </si>
  <si>
    <t>27 11.12.91.00.0.0 M</t>
  </si>
  <si>
    <t xml:space="preserve"> - - - - destiné à subir un traitement défini (3) (19) (30)(32)...................................................................................................</t>
  </si>
  <si>
    <t xml:space="preserve"> . . .</t>
  </si>
  <si>
    <t>Ex</t>
  </si>
  <si>
    <t xml:space="preserve"> . . .</t>
  </si>
  <si>
    <t xml:space="preserve"> . . .</t>
  </si>
  <si>
    <t xml:space="preserve"> . . .</t>
  </si>
  <si>
    <t>Ex</t>
  </si>
  <si>
    <t>27 11.12.93.00.0.0 J</t>
  </si>
  <si>
    <t xml:space="preserve"> - - - - destiné à subir une transformation chimique par un traitement autre que ceux</t>
  </si>
  <si>
    <t xml:space="preserve">              définis pour la sous position 27 11 12  91 (3) (19) (30)(32).........................................................................</t>
  </si>
  <si>
    <t xml:space="preserve"> . . .</t>
  </si>
  <si>
    <t>Ex</t>
  </si>
  <si>
    <t xml:space="preserve"> . . .</t>
  </si>
  <si>
    <t xml:space="preserve"> . . .</t>
  </si>
  <si>
    <t xml:space="preserve"> . . .</t>
  </si>
  <si>
    <t>Ex</t>
  </si>
  <si>
    <t xml:space="preserve"> - - - - destiné à d'autres usages</t>
  </si>
  <si>
    <t xml:space="preserve"> - - - - -  d'une pureté supérieure à 90 % mais inférieure à 99% :</t>
  </si>
  <si>
    <t>27 11.12.94.00.0.1 L</t>
  </si>
  <si>
    <t xml:space="preserve">            * sous conditions d'emploi  (11) (16) (19)(30)(32)..................................................................…</t>
  </si>
  <si>
    <t xml:space="preserve"> . . .</t>
  </si>
  <si>
    <t>100 Kg</t>
  </si>
  <si>
    <t xml:space="preserve"> . . .</t>
  </si>
  <si>
    <t>27 11.12.94.00.0.2 B</t>
  </si>
  <si>
    <t xml:space="preserve">            * destiné à être utilisé comme carburant (11) (19)(30)(32)...............................................</t>
  </si>
  <si>
    <t xml:space="preserve"> . . .</t>
  </si>
  <si>
    <t>100 Kg</t>
  </si>
  <si>
    <t>27 11.12.94.00.0.9 W</t>
  </si>
  <si>
    <t xml:space="preserve">            * autre (19)(26)(30)(32).........................................................................................................................................</t>
  </si>
  <si>
    <t xml:space="preserve"> . . .</t>
  </si>
  <si>
    <t>100 Kg</t>
  </si>
  <si>
    <t>Ex</t>
  </si>
  <si>
    <t xml:space="preserve"> . . .</t>
  </si>
  <si>
    <t xml:space="preserve"> - - - - - autres :</t>
  </si>
  <si>
    <t xml:space="preserve"> </t>
  </si>
  <si>
    <t>27 11.12.97.00.0.1 W</t>
  </si>
  <si>
    <t xml:space="preserve">            * sous conditions d'emploi  (11) (16) (19)(30)(32)...................................................................…</t>
  </si>
  <si>
    <t xml:space="preserve"> . . .</t>
  </si>
  <si>
    <t>100 Kg</t>
  </si>
  <si>
    <t xml:space="preserve"> . . .</t>
  </si>
  <si>
    <t>27 11.12.97.00.0.2 E</t>
  </si>
  <si>
    <t xml:space="preserve">             * destiné à être utilisé comme carburant (11) (19)(30)(32).................................................</t>
  </si>
  <si>
    <t xml:space="preserve"> . . .</t>
  </si>
  <si>
    <t>100 Kg</t>
  </si>
  <si>
    <t>27 11.12.97.00.0.9 F</t>
  </si>
  <si>
    <t xml:space="preserve">             * autres (19)(26)(30)(32).........................................................................................................................................</t>
  </si>
  <si>
    <t xml:space="preserve"> . . .</t>
  </si>
  <si>
    <t>100 Kg</t>
  </si>
  <si>
    <t>Ex</t>
  </si>
  <si>
    <t xml:space="preserve"> . . .</t>
  </si>
  <si>
    <r>
      <rPr>
        <sz val="7"/>
        <rFont val="Antique Olive (W1)"/>
        <family val="1"/>
      </rPr>
      <t xml:space="preserve"> - - Butanes  :</t>
    </r>
  </si>
  <si>
    <t xml:space="preserve"> </t>
  </si>
  <si>
    <t>27 11.13.10.00.0.0 V</t>
  </si>
  <si>
    <t xml:space="preserve"> - - - Destinés à subir un traitement défini (3) (19) (30)(32).............................................................................</t>
  </si>
  <si>
    <t xml:space="preserve"> . . .</t>
  </si>
  <si>
    <t>Ex</t>
  </si>
  <si>
    <t xml:space="preserve"> . . .</t>
  </si>
  <si>
    <t xml:space="preserve"> . . .</t>
  </si>
  <si>
    <t xml:space="preserve"> . . .</t>
  </si>
  <si>
    <t>Ex</t>
  </si>
  <si>
    <t>27 11.13.30.00.0.0 G</t>
  </si>
  <si>
    <t xml:space="preserve"> - - - Destinés à subir une transformation chimique par un traitement autre que ceux</t>
  </si>
  <si>
    <t xml:space="preserve">       définis pour la sous-position 27 11 13 10 (3) (19) (30)(32)......................................................................…</t>
  </si>
  <si>
    <t xml:space="preserve"> . . .</t>
  </si>
  <si>
    <t>Ex</t>
  </si>
  <si>
    <t xml:space="preserve"> . . .</t>
  </si>
  <si>
    <t xml:space="preserve"> . . .</t>
  </si>
  <si>
    <t xml:space="preserve"> . . .</t>
  </si>
  <si>
    <t>Ex</t>
  </si>
  <si>
    <t xml:space="preserve"> - - - Destinés à d'autres usages :</t>
  </si>
  <si>
    <t xml:space="preserve"> - - - - d'une pureté supérieure à 90% mais inférieure à 95% :</t>
  </si>
  <si>
    <t>27 11.13.91.00.0.1 P</t>
  </si>
  <si>
    <t xml:space="preserve"> - - - - - sous conditions d'emploi  (11) (16) (19)(30)(32)...................................................................…</t>
  </si>
  <si>
    <t xml:space="preserve"> . . .</t>
  </si>
  <si>
    <t>100 Kg</t>
  </si>
  <si>
    <t xml:space="preserve"> . . .</t>
  </si>
  <si>
    <t>27 11.13.91.00.0.2 S</t>
  </si>
  <si>
    <t xml:space="preserve"> - - - - - destiné à être utilisé comme carburant (11)(19)(30)(32).................................................</t>
  </si>
  <si>
    <t xml:space="preserve"> . . .</t>
  </si>
  <si>
    <t>100 Kg</t>
  </si>
  <si>
    <t>27 11.13.91.00.0 9 C</t>
  </si>
  <si>
    <t xml:space="preserve"> - - - - - autres (19)(26) (30)(32)..................................................................................................................................................</t>
  </si>
  <si>
    <t xml:space="preserve"> . . .</t>
  </si>
  <si>
    <t>100 Kg</t>
  </si>
  <si>
    <t>Ex</t>
  </si>
  <si>
    <t xml:space="preserve"> . . .</t>
  </si>
  <si>
    <t xml:space="preserve"> - - - - autres :</t>
  </si>
  <si>
    <t>27 11.13.97.00.0.1 M</t>
  </si>
  <si>
    <t xml:space="preserve"> - - - - -  sous conditions d'emploi  (11) (16) (19) (30)(32)..................................................................…</t>
  </si>
  <si>
    <t xml:space="preserve"> . . .</t>
  </si>
  <si>
    <t>100 Kg</t>
  </si>
  <si>
    <t xml:space="preserve"> . . .</t>
  </si>
  <si>
    <t>27 11.13.97.00.0.2 T</t>
  </si>
  <si>
    <t xml:space="preserve"> - - - - -  destiné à être utilisé comme carburant (11) (19) (30)(32)...............................................</t>
  </si>
  <si>
    <t xml:space="preserve"> . . .</t>
  </si>
  <si>
    <t>100 Kg</t>
  </si>
  <si>
    <t>27 11.13.97.00.0.9 S</t>
  </si>
  <si>
    <t xml:space="preserve"> - - - - -  autres (19)(26)(30)(32).................................................................................................................................................</t>
  </si>
  <si>
    <t>100 Kg</t>
  </si>
  <si>
    <t>Ex</t>
  </si>
  <si>
    <t>27 11.14.00.00.0.0 P</t>
  </si>
  <si>
    <r>
      <rPr>
        <sz val="7"/>
        <rFont val="Antique Olive (W1)"/>
        <family val="1"/>
      </rPr>
      <t xml:space="preserve"> - - Ethylène, propylène, butylène et butadiène, liquéfiés (13) (30)(32).........................................................</t>
    </r>
  </si>
  <si>
    <t>Ex</t>
  </si>
  <si>
    <t>Ex</t>
  </si>
  <si>
    <t>Ex</t>
  </si>
  <si>
    <t xml:space="preserve"> - -  Autres gaz de pétrole liquéfiés :</t>
  </si>
  <si>
    <t>27 11.19.00.00.0.1 C</t>
  </si>
  <si>
    <t xml:space="preserve"> - - -  sous conditions d'emploi (11) (16) (19) (30)(32).....................................................................…</t>
  </si>
  <si>
    <t>Ex</t>
  </si>
  <si>
    <t>100 Kg</t>
  </si>
  <si>
    <t>Ex</t>
  </si>
  <si>
    <t xml:space="preserve"> . . .</t>
  </si>
  <si>
    <t>27 11.19.00.00.0.2 H</t>
  </si>
  <si>
    <t xml:space="preserve"> - - - destiné à être utilisé comme carburant  (11) (19) (30)(32)............................................................................…</t>
  </si>
  <si>
    <t>Ex</t>
  </si>
  <si>
    <t>100 Kg</t>
  </si>
  <si>
    <t>Ex</t>
  </si>
  <si>
    <t>27 11.19.00.00.0.9 M</t>
  </si>
  <si>
    <t xml:space="preserve"> - - -  Autres (19) (26)(30)(32)............................................................................................................................................................</t>
  </si>
  <si>
    <t xml:space="preserve"> . . .</t>
  </si>
  <si>
    <t>Ex</t>
  </si>
  <si>
    <t xml:space="preserve"> . . .</t>
  </si>
  <si>
    <t xml:space="preserve"> . . .</t>
  </si>
  <si>
    <t xml:space="preserve"> . . .</t>
  </si>
  <si>
    <t>Ex</t>
  </si>
  <si>
    <t>Ex</t>
  </si>
  <si>
    <t xml:space="preserve"> . . .</t>
  </si>
  <si>
    <r>
      <rPr>
        <i/>
        <sz val="7"/>
        <rFont val="Antique Olive (W1)"/>
        <family val="0"/>
      </rPr>
      <t xml:space="preserve"> - A l'etat gazeux :</t>
    </r>
  </si>
  <si>
    <t xml:space="preserve"> - - Gaz naturel :</t>
  </si>
  <si>
    <t>27 11.21.00.00.0.1 K</t>
  </si>
  <si>
    <t xml:space="preserve"> - - - comprimé, destiné à être utilisé comme carburant  (11) (30).…………………………………………………….................</t>
  </si>
  <si>
    <t xml:space="preserve">TJ </t>
  </si>
  <si>
    <t>Ex</t>
  </si>
  <si>
    <t xml:space="preserve"> . . .</t>
  </si>
  <si>
    <t xml:space="preserve"> . . .</t>
  </si>
  <si>
    <t>100M3</t>
  </si>
  <si>
    <t>Ex</t>
  </si>
  <si>
    <t xml:space="preserve"> . . .</t>
  </si>
  <si>
    <t xml:space="preserve"> - - Autres :</t>
  </si>
  <si>
    <t>27 11.29.00.00.0.1 A</t>
  </si>
  <si>
    <t xml:space="preserve"> - - - gaz de raffinerie destiné à être utilisé comme carburant  (11)(26) (30)(32)....................................................</t>
  </si>
  <si>
    <t>1000m3</t>
  </si>
  <si>
    <t>Ex</t>
  </si>
  <si>
    <t>100M3</t>
  </si>
  <si>
    <t>Ex</t>
  </si>
  <si>
    <t>27 11.29.00.00.0.3 S</t>
  </si>
  <si>
    <t xml:space="preserve"> - - - autres, destinés à être utilisés comme carburant  (11) (30)(32)...........................................................................</t>
  </si>
  <si>
    <t>1000m3</t>
  </si>
  <si>
    <t>Ex</t>
  </si>
  <si>
    <t>100M3</t>
  </si>
  <si>
    <t>Ex</t>
  </si>
  <si>
    <t>27 11.29.00.00.0.9 X</t>
  </si>
  <si>
    <t xml:space="preserve"> - - - autres, destinés à d'autres usages (26)(30)(32)............................................................................................</t>
  </si>
  <si>
    <t>1000m3</t>
  </si>
  <si>
    <t>Ex</t>
  </si>
  <si>
    <t>Ex</t>
  </si>
  <si>
    <t>Ex</t>
  </si>
  <si>
    <t xml:space="preserve"> - Vaseline  :</t>
  </si>
  <si>
    <t>27 12.10.10.00.0.0 K</t>
  </si>
  <si>
    <t xml:space="preserve"> - - brute (13) (26)(30)............................................................................................................................................................................</t>
  </si>
  <si>
    <t>Ex</t>
  </si>
  <si>
    <t>100 Kg</t>
  </si>
  <si>
    <t>Ex</t>
  </si>
  <si>
    <t>Ex</t>
  </si>
  <si>
    <t>27 12.10.90.00.0.0 E</t>
  </si>
  <si>
    <t xml:space="preserve"> - - autre (13) (26)(30)........................................................................................................................................................</t>
  </si>
  <si>
    <t xml:space="preserve"> . . .</t>
  </si>
  <si>
    <t xml:space="preserve"> . . .</t>
  </si>
  <si>
    <t xml:space="preserve"> . . .</t>
  </si>
  <si>
    <t>100 Kg</t>
  </si>
  <si>
    <t>Ex</t>
  </si>
  <si>
    <t xml:space="preserve"> . . .</t>
  </si>
  <si>
    <t xml:space="preserve"> - Paraffine contenant en poids moins de 0,75% d'huile :</t>
  </si>
  <si>
    <t>27 12.20.10.00.0.0 E</t>
  </si>
  <si>
    <t xml:space="preserve"> - - Paraffine synthétique de poids moléculaire compris entre 460 et 1560 (13) (26)(30)..........................</t>
  </si>
  <si>
    <t>Ex</t>
  </si>
  <si>
    <t>100 Kg</t>
  </si>
  <si>
    <t>Ex</t>
  </si>
  <si>
    <t>Ex</t>
  </si>
  <si>
    <t>27 12.20.90.00.0.0 L</t>
  </si>
  <si>
    <t xml:space="preserve"> - - Autre (13) (26)(30)..................................................................................................................................................................</t>
  </si>
  <si>
    <t xml:space="preserve"> . . .</t>
  </si>
  <si>
    <t xml:space="preserve"> . . .</t>
  </si>
  <si>
    <t xml:space="preserve"> . . .</t>
  </si>
  <si>
    <t>100 Kg</t>
  </si>
  <si>
    <t>Ex</t>
  </si>
  <si>
    <t xml:space="preserve"> . . .</t>
  </si>
  <si>
    <r>
      <rPr>
        <i/>
        <sz val="7"/>
        <rFont val="Antique Olive (W1)"/>
        <family val="0"/>
      </rPr>
      <t xml:space="preserve"> - Paraffine, cire de pétrole et résidus paraffineux, bruts :</t>
    </r>
  </si>
  <si>
    <t>27 12.90.31.00.0.0 R</t>
  </si>
  <si>
    <t xml:space="preserve"> - - destinés à subir un traitement défini (3) (13) (30)......................................................................................</t>
  </si>
  <si>
    <t xml:space="preserve"> . . .</t>
  </si>
  <si>
    <t>Ex</t>
  </si>
  <si>
    <t xml:space="preserve"> . . .</t>
  </si>
  <si>
    <t xml:space="preserve"> . . .</t>
  </si>
  <si>
    <t xml:space="preserve"> Réelle</t>
  </si>
  <si>
    <t xml:space="preserve"> . . .</t>
  </si>
  <si>
    <t>Ex</t>
  </si>
  <si>
    <t>27 12.90.33.00.0.0 T</t>
  </si>
  <si>
    <t xml:space="preserve"> - - destinés à subir une transformation chimique par un traitement autre </t>
  </si>
  <si>
    <t xml:space="preserve">     que ceux définis pour la sous-position 27 12 90 31 (3) (13) (30).............................................................…</t>
  </si>
  <si>
    <t xml:space="preserve"> . . .</t>
  </si>
  <si>
    <t>Ex</t>
  </si>
  <si>
    <t xml:space="preserve"> . . .</t>
  </si>
  <si>
    <t xml:space="preserve"> . . .</t>
  </si>
  <si>
    <t xml:space="preserve"> Réelle</t>
  </si>
  <si>
    <t xml:space="preserve"> . . .</t>
  </si>
  <si>
    <t>Ex</t>
  </si>
  <si>
    <t xml:space="preserve">27 12.90.39.00.0.0 W </t>
  </si>
  <si>
    <t xml:space="preserve"> - - destinés à d'autres usages (26):</t>
  </si>
  <si>
    <t>100 Kg</t>
  </si>
  <si>
    <t>Ex</t>
  </si>
  <si>
    <t xml:space="preserve"> - Autres :</t>
  </si>
  <si>
    <t xml:space="preserve"> - - mélange de 1-alcènes contenant en poids 80% ou plus de 1-alcène dont  </t>
  </si>
  <si>
    <r>
      <rPr>
        <sz val="7"/>
        <rFont val="Antique Olive (W1)"/>
        <family val="0"/>
      </rPr>
      <t xml:space="preserve">    la chaine est  &gt; ou = à 24 &amp; &lt; à 28 atomes de carbone :</t>
    </r>
  </si>
  <si>
    <t>27 12.90.91.00.0.1 R</t>
  </si>
  <si>
    <t xml:space="preserve"> - - - cires de pétrole ou de minéraux bitumineux (13) (26)(30)......................................................................................</t>
  </si>
  <si>
    <t>Ex</t>
  </si>
  <si>
    <t>100 Kg</t>
  </si>
  <si>
    <t>Ex</t>
  </si>
  <si>
    <t>Ex</t>
  </si>
  <si>
    <t>27 12.90.91.00.0.9 N</t>
  </si>
  <si>
    <r>
      <rPr>
        <sz val="7"/>
        <rFont val="Antique Olive (W1)"/>
        <family val="0"/>
      </rPr>
      <t xml:space="preserve"> - - - paraffine et résidus paraffineux (13) (26)(30)..........................................................................................…</t>
    </r>
  </si>
  <si>
    <t>Ex</t>
  </si>
  <si>
    <t>100 Kg</t>
  </si>
  <si>
    <t>Ex</t>
  </si>
  <si>
    <t>Ex</t>
  </si>
  <si>
    <t xml:space="preserve"> - - autres :</t>
  </si>
  <si>
    <t xml:space="preserve"> - - - mélange de 1-alcènes contenant en poids 80% ou plus de 1-alcène d'une</t>
  </si>
  <si>
    <r>
      <rPr>
        <sz val="7"/>
        <rFont val="Antique Olive (W1)"/>
        <family val="0"/>
      </rPr>
      <t xml:space="preserve">         longueur de chaine de 20 ou 22 atomes de carbone  :</t>
    </r>
  </si>
  <si>
    <t>27 12.90.99.10.0.1 Z</t>
  </si>
  <si>
    <t xml:space="preserve"> - - - - cires de pétrole ou de minéraux bitumineux (13) (26)(30) .............................................................</t>
  </si>
  <si>
    <t>. . .</t>
  </si>
  <si>
    <t>. . .</t>
  </si>
  <si>
    <t>. . .</t>
  </si>
  <si>
    <t>100 Kg</t>
  </si>
  <si>
    <t>Ex</t>
  </si>
  <si>
    <t>. . .</t>
  </si>
  <si>
    <t>27 12.90.99.10.0.9 J</t>
  </si>
  <si>
    <r>
      <rPr>
        <sz val="7"/>
        <rFont val="Antique Olive (W1)"/>
        <family val="0"/>
      </rPr>
      <t xml:space="preserve"> - - - - paraffine et résidus paraffineux (13)(26) (30)  ..................................................................................</t>
    </r>
  </si>
  <si>
    <t>. . .</t>
  </si>
  <si>
    <t>. . .</t>
  </si>
  <si>
    <t>. . .</t>
  </si>
  <si>
    <t>100 Kg</t>
  </si>
  <si>
    <t>Ex</t>
  </si>
  <si>
    <t>. . .</t>
  </si>
  <si>
    <t xml:space="preserve"> - - - autres :</t>
  </si>
  <si>
    <t>27 12.90.99.90.0.1 T</t>
  </si>
  <si>
    <t xml:space="preserve"> - - - - cires de pétrole ou de minéraux bitumineux (13) (26)(30)....................................................................…</t>
  </si>
  <si>
    <t>100 Kg</t>
  </si>
  <si>
    <t>Ex</t>
  </si>
  <si>
    <t>27 12.90.99.90.0.9 L</t>
  </si>
  <si>
    <r>
      <rPr>
        <sz val="7"/>
        <rFont val="Antique Olive (W1)"/>
        <family val="0"/>
      </rPr>
      <t xml:space="preserve"> - - - - paraffine et résidus paraffineux (13) (26)(30)..................................................................................................</t>
    </r>
  </si>
  <si>
    <t xml:space="preserve"> . . .</t>
  </si>
  <si>
    <t xml:space="preserve"> . . .</t>
  </si>
  <si>
    <t xml:space="preserve"> . . .</t>
  </si>
  <si>
    <t>100 Kg</t>
  </si>
  <si>
    <t>Ex</t>
  </si>
  <si>
    <t xml:space="preserve"> . . .</t>
  </si>
  <si>
    <t xml:space="preserve"> Mélanges bitumineux à base d'asphalte ou de bitume naturels, de bitume </t>
  </si>
  <si>
    <t>de pétrole, de goudron minéral ou de brai de goudron minéral (extrait) :</t>
  </si>
  <si>
    <t>27 15.00.00.00.0.1 T</t>
  </si>
  <si>
    <r>
      <rPr>
        <sz val="7"/>
        <rFont val="Antique Olive (W1)"/>
        <family val="1"/>
      </rPr>
      <t xml:space="preserve"> - Bitumes fluxés (cut-backs), émulsions de bitume de pétrole et similaires (13)(26)(30)....…………………..............</t>
    </r>
  </si>
  <si>
    <t>Ex</t>
  </si>
  <si>
    <t xml:space="preserve"> 100 Kg</t>
  </si>
  <si>
    <t>Ex</t>
  </si>
  <si>
    <t>Ex</t>
  </si>
  <si>
    <t>. . .</t>
  </si>
  <si>
    <t>27 15.00.00.00.0.9 L</t>
  </si>
  <si>
    <t xml:space="preserve"> - Autres (13)(26)..............……………........................................................................................…</t>
  </si>
  <si>
    <t>Ex</t>
  </si>
  <si>
    <t xml:space="preserve"> 100 Kg</t>
  </si>
  <si>
    <t>Ex</t>
  </si>
  <si>
    <t>Ex</t>
  </si>
  <si>
    <t>. . .</t>
  </si>
  <si>
    <t>TVO</t>
  </si>
  <si>
    <t>Hydrocarbures acycliques</t>
  </si>
  <si>
    <t xml:space="preserve"> - saturés</t>
  </si>
  <si>
    <t>29 01.10.00.10.0.0 A</t>
  </si>
  <si>
    <t xml:space="preserve"> - - destinés à être utilisés comme carburant ou comme combustible (13)(26)(32)……………….</t>
  </si>
  <si>
    <t>. . .</t>
  </si>
  <si>
    <r>
      <rPr>
        <sz val="7"/>
        <rFont val="Antique Olive (W1)"/>
        <family val="0"/>
      </rPr>
      <t>Hl</t>
    </r>
  </si>
  <si>
    <t>. . .</t>
  </si>
  <si>
    <t>29 01.10.00.90.0.0 F</t>
  </si>
  <si>
    <t xml:space="preserve"> - - destinés à d'autres usages (32)………………………………………………………………………</t>
  </si>
  <si>
    <t>. . .</t>
  </si>
  <si>
    <t>Ex</t>
  </si>
  <si>
    <t>Ex</t>
  </si>
  <si>
    <t>Ex</t>
  </si>
  <si>
    <t>. . .</t>
  </si>
  <si>
    <t xml:space="preserve"> - non saturés</t>
  </si>
  <si>
    <r>
      <rPr>
        <sz val="7"/>
        <rFont val="Antique Olive (W1)"/>
        <family val="0"/>
      </rPr>
      <t xml:space="preserve"> - - Ethylène</t>
    </r>
  </si>
  <si>
    <t>29 01.21.00.10.0.0 Q</t>
  </si>
  <si>
    <t xml:space="preserve"> - - - destinés à être utilisés comme carburant ou comme combustible (13)(26)………………</t>
  </si>
  <si>
    <t>. . .</t>
  </si>
  <si>
    <t>Ex</t>
  </si>
  <si>
    <r>
      <rPr>
        <sz val="7"/>
        <rFont val="Antique Olive (W1)"/>
        <family val="0"/>
      </rPr>
      <t>Hl</t>
    </r>
  </si>
  <si>
    <t>Ex</t>
  </si>
  <si>
    <t>. . .</t>
  </si>
  <si>
    <t>29 01.21.00.90.0.0 Y</t>
  </si>
  <si>
    <r>
      <rPr>
        <sz val="7"/>
        <rFont val="Antique Olive (W1)"/>
        <family val="0"/>
      </rPr>
      <t xml:space="preserve"> - - - destinés à d'autres usages …………………………………………………………………….</t>
    </r>
  </si>
  <si>
    <t>. . .</t>
  </si>
  <si>
    <t>Ex</t>
  </si>
  <si>
    <t>Ex</t>
  </si>
  <si>
    <t>Ex</t>
  </si>
  <si>
    <t>. . .</t>
  </si>
  <si>
    <t>29 01.22.00.00.0.0 D</t>
  </si>
  <si>
    <t xml:space="preserve"> - - Propène (propylène)(13)(26)……………..</t>
  </si>
  <si>
    <t>. . .</t>
  </si>
  <si>
    <t>Ex</t>
  </si>
  <si>
    <r>
      <rPr>
        <sz val="7"/>
        <rFont val="Antique Olive (W1)"/>
        <family val="0"/>
      </rPr>
      <t>Hl</t>
    </r>
  </si>
  <si>
    <t>Ex</t>
  </si>
  <si>
    <t>. . .</t>
  </si>
  <si>
    <t xml:space="preserve"> - - Butène (butylène et ses isomères)</t>
  </si>
  <si>
    <t>29 01.23.10.00.0.0 M</t>
  </si>
  <si>
    <r>
      <rPr>
        <sz val="7"/>
        <rFont val="Antique Olive (W1)"/>
        <family val="0"/>
      </rPr>
      <t xml:space="preserve"> - - - But-1-ène et but-2-ène (13)(26)…………………………..</t>
    </r>
  </si>
  <si>
    <t>. . .</t>
  </si>
  <si>
    <t>Ex</t>
  </si>
  <si>
    <r>
      <rPr>
        <sz val="7"/>
        <rFont val="Antique Olive (W1)"/>
        <family val="0"/>
      </rPr>
      <t>Hl</t>
    </r>
  </si>
  <si>
    <t>Ex</t>
  </si>
  <si>
    <t>. . .</t>
  </si>
  <si>
    <t>29 01.23.90.00.0.0 X</t>
  </si>
  <si>
    <t xml:space="preserve"> - - - Autres (13)(26)…………………………..</t>
  </si>
  <si>
    <t>. . .</t>
  </si>
  <si>
    <t>Ex</t>
  </si>
  <si>
    <r>
      <rPr>
        <sz val="7"/>
        <rFont val="Antique Olive (W1)"/>
        <family val="0"/>
      </rPr>
      <t>Hl</t>
    </r>
  </si>
  <si>
    <t>Ex</t>
  </si>
  <si>
    <t>. . .</t>
  </si>
  <si>
    <r>
      <rPr>
        <sz val="7"/>
        <rFont val="Antique Olive (W1)"/>
        <family val="0"/>
      </rPr>
      <t xml:space="preserve"> - - Buta-1, 3-diène et isoprène : </t>
    </r>
  </si>
  <si>
    <t>29 01.24.10.00.0.0 A</t>
  </si>
  <si>
    <r>
      <rPr>
        <sz val="7"/>
        <rFont val="Antique Olive (W1)"/>
        <family val="0"/>
      </rPr>
      <t xml:space="preserve"> - - - Buta-1, 3 diène (13) (26)…………………………..</t>
    </r>
  </si>
  <si>
    <t>. . .</t>
  </si>
  <si>
    <t>Ex</t>
  </si>
  <si>
    <r>
      <rPr>
        <sz val="7"/>
        <rFont val="Antique Olive (W1)"/>
        <family val="0"/>
      </rPr>
      <t>Hl</t>
    </r>
  </si>
  <si>
    <t>Ex</t>
  </si>
  <si>
    <t>. . .</t>
  </si>
  <si>
    <t>29 01.24.90.00.0.0 V</t>
  </si>
  <si>
    <r>
      <rPr>
        <sz val="7"/>
        <rFont val="Antique Olive (W1)"/>
        <family val="0"/>
      </rPr>
      <t xml:space="preserve"> - - - Isoprène (13)(26)…………………………..</t>
    </r>
  </si>
  <si>
    <t>. . .</t>
  </si>
  <si>
    <t>Ex</t>
  </si>
  <si>
    <r>
      <rPr>
        <sz val="7"/>
        <rFont val="Antique Olive (W1)"/>
        <family val="0"/>
      </rPr>
      <t>Hl</t>
    </r>
  </si>
  <si>
    <t>Ex</t>
  </si>
  <si>
    <t>. . .</t>
  </si>
  <si>
    <t>29 01.29.00.00.0.0 W</t>
  </si>
  <si>
    <t xml:space="preserve"> - - Autres (13)(26)……………</t>
  </si>
  <si>
    <t>. . .</t>
  </si>
  <si>
    <t>Ex</t>
  </si>
  <si>
    <r>
      <rPr>
        <sz val="7"/>
        <rFont val="Antique Olive (W1)"/>
        <family val="0"/>
      </rPr>
      <t>Hl</t>
    </r>
  </si>
  <si>
    <t>Ex</t>
  </si>
  <si>
    <t>. . .</t>
  </si>
  <si>
    <t>Hydrocarbures cycliques</t>
  </si>
  <si>
    <r>
      <rPr>
        <i/>
        <sz val="7"/>
        <rFont val="Antique Olive (W1)"/>
        <family val="0"/>
      </rPr>
      <t xml:space="preserve"> - Cyclaniques, cyclèniques ou cycloterpéniques : </t>
    </r>
  </si>
  <si>
    <r>
      <rPr>
        <sz val="7"/>
        <rFont val="Antique Olive (W1)"/>
        <family val="0"/>
      </rPr>
      <t xml:space="preserve"> - - Cyclohexane</t>
    </r>
  </si>
  <si>
    <t>29 02.11.00.00.0.1 K</t>
  </si>
  <si>
    <t xml:space="preserve"> - - - destinés à être utilisés comme carburant ou comme combustible (13)(26)……………..</t>
  </si>
  <si>
    <t>. . .</t>
  </si>
  <si>
    <t>Ex</t>
  </si>
  <si>
    <r>
      <rPr>
        <sz val="7"/>
        <rFont val="Antique Olive (W1)"/>
        <family val="0"/>
      </rPr>
      <t>Hl</t>
    </r>
  </si>
  <si>
    <t>Ex</t>
  </si>
  <si>
    <t>. . .</t>
  </si>
  <si>
    <t>29 02.11.00.00.0.9 G</t>
  </si>
  <si>
    <t xml:space="preserve"> - - - destinés à d'autres usages ………………………………………………………………………</t>
  </si>
  <si>
    <t>. . .</t>
  </si>
  <si>
    <t>Ex</t>
  </si>
  <si>
    <t>Ex</t>
  </si>
  <si>
    <t>Ex</t>
  </si>
  <si>
    <t>. . .</t>
  </si>
  <si>
    <t xml:space="preserve"> - - Autres</t>
  </si>
  <si>
    <t xml:space="preserve"> - - - Autres : </t>
  </si>
  <si>
    <t>29 02.19.80.00.0.1 V</t>
  </si>
  <si>
    <t xml:space="preserve"> - - - - destiné à être utilisé comme carburant ou combustible (13)(26) …………………………</t>
  </si>
  <si>
    <t>. . .</t>
  </si>
  <si>
    <t>Ex</t>
  </si>
  <si>
    <r>
      <rPr>
        <sz val="7"/>
        <rFont val="Antique Olive (W1)"/>
        <family val="0"/>
      </rPr>
      <t>Hl</t>
    </r>
  </si>
  <si>
    <t>Ex</t>
  </si>
  <si>
    <t>. . .</t>
  </si>
  <si>
    <t>29 02.19.80.00.0.9 Z</t>
  </si>
  <si>
    <r>
      <rPr>
        <sz val="7"/>
        <rFont val="Antique Olive (W1)"/>
        <family val="0"/>
      </rPr>
      <t xml:space="preserve"> - - - - destiné à d'autres usages ……………………………………………………………..</t>
    </r>
  </si>
  <si>
    <t>. . .</t>
  </si>
  <si>
    <t>Ex</t>
  </si>
  <si>
    <t>Ex</t>
  </si>
  <si>
    <t>Ex</t>
  </si>
  <si>
    <t>. . .</t>
  </si>
  <si>
    <t xml:space="preserve"> - Benzène :  </t>
  </si>
  <si>
    <t>29 02.20.00.00.0.1 G</t>
  </si>
  <si>
    <t xml:space="preserve"> - - destinés à être utilisés comme carburant ou comme combustible (13)(32)(26)……………….</t>
  </si>
  <si>
    <t>. . .</t>
  </si>
  <si>
    <t>Ex</t>
  </si>
  <si>
    <r>
      <rPr>
        <sz val="7"/>
        <rFont val="Antique Olive (W1)"/>
        <family val="0"/>
      </rPr>
      <t>Hl</t>
    </r>
  </si>
  <si>
    <t>Ex</t>
  </si>
  <si>
    <t>. . .</t>
  </si>
  <si>
    <t>29 02.20.00.00.0.9 V</t>
  </si>
  <si>
    <t xml:space="preserve"> - - destinés à d'autres usages (32)………………………………………………………………………..</t>
  </si>
  <si>
    <t>. . .</t>
  </si>
  <si>
    <t>Ex</t>
  </si>
  <si>
    <t>Ex</t>
  </si>
  <si>
    <t>Ex</t>
  </si>
  <si>
    <t>. . .</t>
  </si>
  <si>
    <t xml:space="preserve"> - Toluène  : </t>
  </si>
  <si>
    <t>29 02.30.00.00.0.1Q</t>
  </si>
  <si>
    <t xml:space="preserve"> - - destinés à être utilisés comme carburant ou comme combustible (13) (32)(26)……………..</t>
  </si>
  <si>
    <t>. . .</t>
  </si>
  <si>
    <t>Ex</t>
  </si>
  <si>
    <r>
      <rPr>
        <sz val="7"/>
        <rFont val="Antique Olive (W1)"/>
        <family val="0"/>
      </rPr>
      <t>Hl</t>
    </r>
  </si>
  <si>
    <t>Ex</t>
  </si>
  <si>
    <t>. . .</t>
  </si>
  <si>
    <t>29 02.30.00.00.0.9 R</t>
  </si>
  <si>
    <t xml:space="preserve"> - - destinés à d'autres usages (32)………………………………………………………………………..</t>
  </si>
  <si>
    <t>. . .</t>
  </si>
  <si>
    <t>Ex</t>
  </si>
  <si>
    <t>Ex</t>
  </si>
  <si>
    <t>Ex</t>
  </si>
  <si>
    <t>. . .</t>
  </si>
  <si>
    <t xml:space="preserve"> - Xylène  : </t>
  </si>
  <si>
    <t>29 02.41.00.00.0.0 Y</t>
  </si>
  <si>
    <t xml:space="preserve"> - - o-Xylène (13) (26)(32)…………………………………………………………………………………………………</t>
  </si>
  <si>
    <t>. . .</t>
  </si>
  <si>
    <t>Ex</t>
  </si>
  <si>
    <t>Ex</t>
  </si>
  <si>
    <t>. . .</t>
  </si>
  <si>
    <t>29 02.42.00.00.0.0 Z</t>
  </si>
  <si>
    <t xml:space="preserve"> - - m-Xylène (13)(26) (32)………………………………………………………………………………………………..</t>
  </si>
  <si>
    <t>. . .</t>
  </si>
  <si>
    <t>Ex</t>
  </si>
  <si>
    <t>Ex</t>
  </si>
  <si>
    <t>. . .</t>
  </si>
  <si>
    <t>29 02.43.00.00.0.0 R</t>
  </si>
  <si>
    <t xml:space="preserve"> - - p-Xylène (13)(26) (32)………………………………………………………………………………………………..</t>
  </si>
  <si>
    <t>. . .</t>
  </si>
  <si>
    <t>Ex</t>
  </si>
  <si>
    <t>Ex</t>
  </si>
  <si>
    <t>. . .</t>
  </si>
  <si>
    <t xml:space="preserve"> - - isomères du xylène en mélange : </t>
  </si>
  <si>
    <t>29 02.44.00.00.0.1 E</t>
  </si>
  <si>
    <t xml:space="preserve"> - - - destinés à être utilisés comme carburant ou comme combustible (13)(26) (32)……………..</t>
  </si>
  <si>
    <t>. . .</t>
  </si>
  <si>
    <t>Ex</t>
  </si>
  <si>
    <r>
      <rPr>
        <sz val="7"/>
        <rFont val="Antique Olive (W1)"/>
        <family val="0"/>
      </rPr>
      <t>Hl</t>
    </r>
  </si>
  <si>
    <t>Ex</t>
  </si>
  <si>
    <t>. . .</t>
  </si>
  <si>
    <t>29 02.44.00.00.0.9 Q</t>
  </si>
  <si>
    <t xml:space="preserve"> - - - destinés à d'autres usages (32)………………………………………………………………………</t>
  </si>
  <si>
    <t>. . .</t>
  </si>
  <si>
    <t>Ex</t>
  </si>
  <si>
    <t>Ex</t>
  </si>
  <si>
    <t>Ex</t>
  </si>
  <si>
    <t>. . .</t>
  </si>
  <si>
    <t xml:space="preserve"> Préparations lubrifiantes (y compris les huiles de coupe, les préparations </t>
  </si>
  <si>
    <r>
      <rPr>
        <b/>
        <sz val="7"/>
        <rFont val="Antique Olive (W1)"/>
        <family val="0"/>
      </rPr>
      <t xml:space="preserve">pour le dégrippage des écrous, les préparations antirouille ou anticorrosion </t>
    </r>
  </si>
  <si>
    <t>et les préparations pour le démoulage, à base de lubrifiants) et préparations</t>
  </si>
  <si>
    <r>
      <rPr>
        <b/>
        <sz val="7"/>
        <rFont val="Antique Olive (W1)"/>
        <family val="0"/>
      </rPr>
      <t xml:space="preserve">des types utilisés pour l'ensimage des matières textiles, l'huilage ou le graissage </t>
    </r>
  </si>
  <si>
    <r>
      <rPr>
        <b/>
        <sz val="7"/>
        <rFont val="Antique Olive (W1)"/>
        <family val="0"/>
      </rPr>
      <t xml:space="preserve">du cuir, des pelleries ou d'autres matières, à l'exclusion de celles contenant </t>
    </r>
  </si>
  <si>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</si>
  <si>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</si>
  <si>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</si>
  <si>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</si>
  <si>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</si>
  <si>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t>
  </si>
  <si>
    <r>
      <rPr>
        <sz val="7"/>
        <rFont val="Antique Olive (W1)"/>
        <family val="0"/>
      </rPr>
      <t xml:space="preserve"> matières(26)(30) ………………………………………………………………………………………………………...…</t>
    </r>
  </si>
  <si>
    <t xml:space="preserve"> 100 Kg</t>
  </si>
  <si>
    <t>Ex</t>
  </si>
  <si>
    <t>. . .</t>
  </si>
  <si>
    <t xml:space="preserve"> - - autres : </t>
  </si>
  <si>
    <t xml:space="preserve"> - - - contenant en poids 70 % ou plus d'huiles de pétrole ou de minéraux bitumineux non</t>
  </si>
  <si>
    <t xml:space="preserve">considérés comme constituants de base </t>
  </si>
  <si>
    <t>34 03.19.10.00.0.1 C</t>
  </si>
  <si>
    <t>- - - - - énumérées à l'annexe I du décret du 17 juin 1999 modifié pris pour l'application de la taxe générale sur les activités polluantes (26)(28)(28 bis) (28 quater)</t>
  </si>
  <si>
    <t xml:space="preserve"> . . .</t>
  </si>
  <si>
    <t xml:space="preserve"> . . .</t>
  </si>
  <si>
    <t>O2</t>
  </si>
  <si>
    <t xml:space="preserve"> Réelle</t>
  </si>
  <si>
    <t>Ex</t>
  </si>
  <si>
    <t>. . .</t>
  </si>
  <si>
    <t>TGAP</t>
  </si>
  <si>
    <t>A/B/D</t>
  </si>
  <si>
    <t>34 03.19.10.00.0.9 M</t>
  </si>
  <si>
    <t>- - - - autres(26)……………………………………………………………………………………………………………………</t>
  </si>
  <si>
    <t xml:space="preserve"> . . .</t>
  </si>
  <si>
    <t xml:space="preserve"> . . .</t>
  </si>
  <si>
    <t>O2</t>
  </si>
  <si>
    <t xml:space="preserve"> Réelle</t>
  </si>
  <si>
    <t>Ex</t>
  </si>
  <si>
    <t>. . .</t>
  </si>
  <si>
    <t xml:space="preserve"> - - - autres : </t>
  </si>
  <si>
    <t xml:space="preserve"> - - - -  Préparations pour la lubrification des machines, appareils et véhicules </t>
  </si>
  <si>
    <t>34 03.19.91.00.0.1 T</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</si>
  <si>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</si>
  <si>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</si>
  <si>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</si>
  <si>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</si>
  <si>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</si>
  <si>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</si>
  <si>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</si>
  <si>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</si>
  <si>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A/B/C</t>
  </si>
  <si>
    <t>34 03.19.91.00.0.9 L</t>
  </si>
  <si>
    <t>- - - - - autres (26)(30)……………………………………………………………………………………</t>
  </si>
  <si>
    <t xml:space="preserve"> . . .</t>
  </si>
  <si>
    <t xml:space="preserve"> . . .</t>
  </si>
  <si>
    <t>O2</t>
  </si>
  <si>
    <t xml:space="preserve"> 100 Kg</t>
  </si>
  <si>
    <t>Ex</t>
  </si>
  <si>
    <t>. . .</t>
  </si>
  <si>
    <t xml:space="preserve"> - - - -  autres </t>
  </si>
  <si>
    <t>34 03.19.99.00.0.1 P</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</si>
  <si>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</si>
  <si>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</si>
  <si>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</si>
  <si>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</si>
  <si>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</si>
  <si>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</si>
  <si>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</si>
  <si>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</si>
  <si>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A/B/C</t>
  </si>
  <si>
    <t>34 03.19.99.00.0.9 C</t>
  </si>
  <si>
    <t>- - - - - autres (26)(30)……………………………………………………………………………………</t>
  </si>
  <si>
    <t xml:space="preserve"> . . .</t>
  </si>
  <si>
    <t xml:space="preserve"> . . .</t>
  </si>
  <si>
    <t>O2</t>
  </si>
  <si>
    <t xml:space="preserve"> 100 Kg</t>
  </si>
  <si>
    <t>Ex</t>
  </si>
  <si>
    <t>. . .</t>
  </si>
  <si>
    <r>
      <rPr>
        <b/>
        <sz val="7"/>
        <rFont val="Antique Olive (W1)"/>
        <family val="0"/>
      </rPr>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r>
  </si>
  <si>
    <t>O2</t>
  </si>
  <si>
    <t xml:space="preserve"> - Préparations antidétonantes : </t>
  </si>
  <si>
    <t xml:space="preserve"> - - à base de composés du plomb</t>
  </si>
  <si>
    <t>38 11.11.10.00.0.0 M</t>
  </si>
  <si>
    <r>
      <rPr>
        <i/>
        <sz val="7"/>
        <rFont val="Antique Olive (W1)"/>
        <family val="0"/>
      </rPr>
      <t xml:space="preserve"> - - - à base de plomb tétraéthyle (13)(26)………………………………………………………………………</t>
    </r>
  </si>
  <si>
    <t>O2</t>
  </si>
  <si>
    <t xml:space="preserve"> Réelle</t>
  </si>
  <si>
    <r>
      <rPr>
        <sz val="7"/>
        <rFont val="Antique Olive (W1)"/>
        <family val="0"/>
      </rPr>
      <t>Hl</t>
    </r>
  </si>
  <si>
    <t>. . .</t>
  </si>
  <si>
    <t>38 11.11.90.00.0.0 X</t>
  </si>
  <si>
    <t xml:space="preserve"> - - - autres (13)(26)………………………………………………………………………………………………………</t>
  </si>
  <si>
    <t>O2</t>
  </si>
  <si>
    <t xml:space="preserve"> Réelle</t>
  </si>
  <si>
    <r>
      <rPr>
        <sz val="7"/>
        <rFont val="Antique Olive (W1)"/>
        <family val="0"/>
      </rPr>
      <t>Hl</t>
    </r>
  </si>
  <si>
    <t>. . .</t>
  </si>
  <si>
    <t>38 11.19.00.00.0.0 A</t>
  </si>
  <si>
    <t xml:space="preserve"> - - autres (13(26))…………………………………………………………………………………………………………</t>
  </si>
  <si>
    <t>O2</t>
  </si>
  <si>
    <t xml:space="preserve"> Réelle</t>
  </si>
  <si>
    <r>
      <rPr>
        <sz val="7"/>
        <rFont val="Antique Olive (W1)"/>
        <family val="0"/>
      </rPr>
      <t>Hl</t>
    </r>
  </si>
  <si>
    <t>. . .</t>
  </si>
  <si>
    <t xml:space="preserve"> - Additifs pour huiles lubrifiantes  : </t>
  </si>
  <si>
    <t xml:space="preserve"> - - contenant des huiles de pétrole ou de minéraux bitumeux</t>
  </si>
  <si>
    <r>
      <rPr>
        <i/>
        <sz val="7"/>
        <rFont val="Antique Olive (W1)"/>
        <family val="0"/>
      </rPr>
      <t xml:space="preserve"> - - - Sels d'acide dinonylnaphtalènesulfonique sous forme de solution dans des huiles</t>
    </r>
  </si>
  <si>
    <t xml:space="preserve">          minérales............................................……………………………………………………</t>
  </si>
  <si>
    <t>38 11.21.00.10.0.1 P</t>
  </si>
  <si>
    <t>- - - - - énumérées à l'annexe I du décret du 17 juin 1999 modifié pris pour l'application de la taxe générale sur les activités polluantes (26)(28)(28 bis) (28 ter)(30)</t>
  </si>
  <si>
    <t xml:space="preserve"> 100 Kg</t>
  </si>
  <si>
    <t>Ex</t>
  </si>
  <si>
    <t>. . .</t>
  </si>
  <si>
    <t>A/B/C</t>
  </si>
  <si>
    <t>38 11.21.00.10.0.9 C</t>
  </si>
  <si>
    <t>- - - - autres (26)(30)……………………………………………………………………………………</t>
  </si>
  <si>
    <t xml:space="preserve"> 100 Kg</t>
  </si>
  <si>
    <t>Ex</t>
  </si>
  <si>
    <t>. . .</t>
  </si>
  <si>
    <t xml:space="preserve"> - - - Autres </t>
  </si>
  <si>
    <t>38 11.21.00.90.0.1 Q</t>
  </si>
  <si>
    <t>- - - - - énumérées à l'annexe I du décret du 17 juin 1999 modifié pris pour l'application de la taxe générale sur les activités polluantes (26)(28)(28 bis) (28 ter)(30)</t>
  </si>
  <si>
    <t xml:space="preserve"> 100 Kg</t>
  </si>
  <si>
    <t>Ex</t>
  </si>
  <si>
    <t>. . .</t>
  </si>
  <si>
    <t>A/B/C</t>
  </si>
  <si>
    <t>38 11.21.00.90.0.9 R</t>
  </si>
  <si>
    <t>- - - - autres (26)(30)……………………………………………………………………………………</t>
  </si>
  <si>
    <t xml:space="preserve"> 100 Kg</t>
  </si>
  <si>
    <t>Ex</t>
  </si>
  <si>
    <t>. . .</t>
  </si>
  <si>
    <t xml:space="preserve"> - autres</t>
  </si>
  <si>
    <t>38 11.90.00.00.0.1 N</t>
  </si>
  <si>
    <t xml:space="preserve"> - - - destinés à être incorporés dans des huiles minérales utilisées autrement que comme</t>
  </si>
  <si>
    <t xml:space="preserve">          carburant , combustible ou lubrifiant…………………………………………………………………………………………………………….</t>
  </si>
  <si>
    <t xml:space="preserve"> . . .</t>
  </si>
  <si>
    <t xml:space="preserve"> . . .</t>
  </si>
  <si>
    <t xml:space="preserve"> . . .</t>
  </si>
  <si>
    <t xml:space="preserve"> Réelle</t>
  </si>
  <si>
    <t xml:space="preserve"> . . .</t>
  </si>
  <si>
    <t>Ex</t>
  </si>
  <si>
    <t>. . .</t>
  </si>
  <si>
    <t>38 11.90.00.00.0.2 V</t>
  </si>
  <si>
    <r>
      <rPr>
        <sz val="7"/>
        <rFont val="Antique Olive (W1)"/>
        <family val="0"/>
      </rPr>
      <t xml:space="preserve"> - - - destinés à être incorporés dans les fiouls lourds (26)………………………………………………</t>
    </r>
  </si>
  <si>
    <t xml:space="preserve"> . . .</t>
  </si>
  <si>
    <t xml:space="preserve"> Réelle</t>
  </si>
  <si>
    <t xml:space="preserve"> 100 Kg</t>
  </si>
  <si>
    <t>. . .</t>
  </si>
  <si>
    <t>38 11.90.00.00.0.3 D</t>
  </si>
  <si>
    <r>
      <rPr>
        <sz val="7"/>
        <rFont val="Antique Olive (W1)"/>
        <family val="1"/>
      </rPr>
      <t xml:space="preserve"> - - - destinés à être incorporés dans du fioul domestique ou toute autre huile minérale </t>
    </r>
  </si>
  <si>
    <r>
      <rPr>
        <sz val="7"/>
        <rFont val="Antique Olive (W1)"/>
        <family val="0"/>
      </rPr>
      <t xml:space="preserve">         dont le taux de taxe intérieure de consommation est celui du fioul domestique(26)………..</t>
    </r>
  </si>
  <si>
    <t xml:space="preserve"> . . .</t>
  </si>
  <si>
    <t xml:space="preserve"> C (18)</t>
  </si>
  <si>
    <t xml:space="preserve"> . . .</t>
  </si>
  <si>
    <t xml:space="preserve"> Réelle</t>
  </si>
  <si>
    <r>
      <rPr>
        <sz val="7"/>
        <rFont val="Antique Olive (W1)"/>
        <family val="0"/>
      </rPr>
      <t>Hl</t>
    </r>
  </si>
  <si>
    <t>. . .</t>
  </si>
  <si>
    <t>38 11.90.00.00.0.4 Y</t>
  </si>
  <si>
    <t xml:space="preserve"> - - - destinés à être incorporés dans du gazole ou toute autre huile minérale dont</t>
  </si>
  <si>
    <t xml:space="preserve">         le taux de taxe intérieure de consommation est celui du gazole(26)…………………………</t>
  </si>
  <si>
    <t xml:space="preserve"> . . .</t>
  </si>
  <si>
    <t xml:space="preserve"> C (18)</t>
  </si>
  <si>
    <t xml:space="preserve"> O2 (21)</t>
  </si>
  <si>
    <t xml:space="preserve"> Réelle</t>
  </si>
  <si>
    <r>
      <rPr>
        <sz val="7"/>
        <rFont val="Antique Olive (W1)"/>
        <family val="0"/>
      </rPr>
      <t>Hl</t>
    </r>
  </si>
  <si>
    <t>. . .</t>
  </si>
  <si>
    <t>38 11.90.00.00.0.5 M</t>
  </si>
  <si>
    <r>
      <rPr>
        <sz val="7"/>
        <rFont val="Antique Olive (W1)"/>
        <family val="0"/>
      </rPr>
      <t xml:space="preserve"> - - - à base de potassium, améliorant les caractéristiques anti-récession de soupape (ARS)(26)</t>
    </r>
  </si>
  <si>
    <t xml:space="preserve"> . . .</t>
  </si>
  <si>
    <t xml:space="preserve"> C (18)</t>
  </si>
  <si>
    <t xml:space="preserve"> O2 (21)</t>
  </si>
  <si>
    <t xml:space="preserve"> Réelle</t>
  </si>
  <si>
    <r>
      <rPr>
        <sz val="7"/>
        <rFont val="Antique Olive (W1)"/>
        <family val="0"/>
      </rPr>
      <t>Hl</t>
    </r>
  </si>
  <si>
    <t>. . .</t>
  </si>
  <si>
    <t>38 11.90.00.00.0.6 T</t>
  </si>
  <si>
    <t xml:space="preserve"> - - - à base d'un élément autre que le potassium, améliorant les caractéristiques </t>
  </si>
  <si>
    <r>
      <rPr>
        <sz val="7"/>
        <rFont val="Antique Olive (W1)"/>
        <family val="0"/>
      </rPr>
      <t xml:space="preserve">        anti-récession de soupape (ARS) et reconnu de qualité équivalente aux additifs </t>
    </r>
  </si>
  <si>
    <r>
      <rPr>
        <sz val="7"/>
        <rFont val="Antique Olive (W1)"/>
        <family val="0"/>
      </rPr>
      <t xml:space="preserve">           au potassium dans un autre Etat membre de l'Union européenne ou dans un </t>
    </r>
  </si>
  <si>
    <r>
      <rPr>
        <sz val="7"/>
        <rFont val="Antique Olive (W1)"/>
        <family val="0"/>
      </rPr>
      <t xml:space="preserve">           autre Etat membre de l'espace économique européen (24)(26) …………………………….</t>
    </r>
  </si>
  <si>
    <t xml:space="preserve"> . . .</t>
  </si>
  <si>
    <t xml:space="preserve"> C (18)</t>
  </si>
  <si>
    <t xml:space="preserve"> O2 (21)</t>
  </si>
  <si>
    <t xml:space="preserve"> Réelle</t>
  </si>
  <si>
    <r>
      <rPr>
        <sz val="7"/>
        <rFont val="Antique Olive (W1)"/>
        <family val="0"/>
      </rPr>
      <t>Hl</t>
    </r>
  </si>
  <si>
    <t>. . .</t>
  </si>
  <si>
    <t>38 11.90.00.00.0.9 K</t>
  </si>
  <si>
    <t xml:space="preserve"> - - - destinés à être incorporés dans les supercarburants(26)………………………………………………………………………………..</t>
  </si>
  <si>
    <t xml:space="preserve"> . . .</t>
  </si>
  <si>
    <t xml:space="preserve"> Réelle</t>
  </si>
  <si>
    <r>
      <rPr>
        <sz val="7"/>
        <rFont val="Antique Olive (W1)"/>
        <family val="0"/>
      </rPr>
      <t>Hl</t>
    </r>
  </si>
  <si>
    <t>. . .</t>
  </si>
  <si>
    <r>
      <rPr>
        <b/>
        <sz val="7"/>
        <rFont val="Antique Olive (W1)"/>
        <family val="0"/>
      </rPr>
      <t xml:space="preserve">Alkylbenzènes en mélanges et alkylnaphtalènes en mélanges, autres que ceux </t>
    </r>
  </si>
  <si>
    <t xml:space="preserve">des n° 2707 ou 2902 : </t>
  </si>
  <si>
    <t>38 17 00.50.00.0.0 Y</t>
  </si>
  <si>
    <r>
      <rPr>
        <sz val="7"/>
        <rFont val="Antique Olive (W1)"/>
        <family val="1"/>
      </rPr>
      <t xml:space="preserve"> - Alkylbenzènes linéaire (13)(26)…………………………………………………………………………………..</t>
    </r>
  </si>
  <si>
    <t>. . .</t>
  </si>
  <si>
    <r>
      <rPr>
        <sz val="7"/>
        <rFont val="Antique Olive (W1)"/>
        <family val="0"/>
      </rPr>
      <t>Hl</t>
    </r>
  </si>
  <si>
    <t>. . .</t>
  </si>
  <si>
    <t xml:space="preserve"> - Autres </t>
  </si>
  <si>
    <t>38 17 00.80.00.0.1 R</t>
  </si>
  <si>
    <t>- - énumérées à l'annexe I du décret du 17 juin 1999 modifié pris pour l'application de la taxe générale sur les activités polluantes (26)(28)(28 bis) (28 quater)</t>
  </si>
  <si>
    <t>. . .</t>
  </si>
  <si>
    <r>
      <rPr>
        <sz val="7"/>
        <rFont val="Antique Olive (W1)"/>
        <family val="0"/>
      </rPr>
      <t>Hl</t>
    </r>
  </si>
  <si>
    <t>Ex</t>
  </si>
  <si>
    <t>. . .</t>
  </si>
  <si>
    <t>TGAP</t>
  </si>
  <si>
    <t>A/B/D</t>
  </si>
  <si>
    <t>38 17 00.80.00.0.9 N</t>
  </si>
  <si>
    <t>- - autres(26)……………………………………………………………………………………</t>
  </si>
  <si>
    <t>. . .</t>
  </si>
  <si>
    <r>
      <rPr>
        <sz val="7"/>
        <rFont val="Antique Olive (W1)"/>
        <family val="0"/>
      </rPr>
      <t>Hl</t>
    </r>
  </si>
  <si>
    <t>. . .</t>
  </si>
  <si>
    <t xml:space="preserve"> - Autres</t>
  </si>
  <si>
    <t>38 24.90.99.99.0.1 W</t>
  </si>
  <si>
    <r>
      <rPr>
        <i/>
        <sz val="7"/>
        <rFont val="Antique Olive (W1)"/>
        <family val="0"/>
      </rPr>
      <t xml:space="preserve"> - - Emulsions d'eau dans du gazole stabilisée par des agents tensio-actifs, dont la teneur en eau est égale ou supérieure à 7% en volume sans dépasser 20 % en volume,  sous condition d'emploi (23) (30)……………………………………………………………………………….</t>
    </r>
  </si>
  <si>
    <t>. . .</t>
  </si>
  <si>
    <r>
      <rPr>
        <sz val="7"/>
        <rFont val="Antique Olive (W1)"/>
        <family val="0"/>
      </rPr>
      <t>Hl</t>
    </r>
  </si>
  <si>
    <t>. . .</t>
  </si>
  <si>
    <t>38 24.90.99.99.0.2 E</t>
  </si>
  <si>
    <r>
      <rPr>
        <i/>
        <sz val="7"/>
        <rFont val="Antique Olive (W1)"/>
        <family val="0"/>
      </rPr>
      <t xml:space="preserve"> - - Emulsions d'eau dans du gazole stabilisée par des agents tensio-actifs, dont la teneur en eau est égale ou supérieure à 7% en volume sans dépasser 20 % en volume, autre,  destinée à être utilisée comme carburant (23) (30).……………………………………….……</t>
    </r>
  </si>
  <si>
    <t>. . .</t>
  </si>
  <si>
    <r>
      <rPr>
        <sz val="7"/>
        <rFont val="Antique Olive (W1)"/>
        <family val="0"/>
      </rPr>
      <t>Hl</t>
    </r>
  </si>
  <si>
    <t>. . .</t>
  </si>
  <si>
    <t>38 24.90.99.99.0.3 N</t>
  </si>
  <si>
    <r>
      <rPr>
        <i/>
        <sz val="7"/>
        <rFont val="Antique Olive (W1)"/>
        <family val="0"/>
      </rPr>
      <t xml:space="preserve"> - - Emulsions d'eau dans du gazole stabilisée par des agents tensio-actifs, dont la teneur en eau est égale ou supérieure à 7% en volume sans dépasser 20 % en volume, autre, destinée à un usage autre que carburant ou combustible.(15) (23) (30)…………........…</t>
    </r>
  </si>
  <si>
    <t xml:space="preserve"> . . .</t>
  </si>
  <si>
    <t xml:space="preserve"> C (18)</t>
  </si>
  <si>
    <t xml:space="preserve"> O2 (21)</t>
  </si>
  <si>
    <r>
      <rPr>
        <sz val="7"/>
        <rFont val="Antique Olive (W1)"/>
        <family val="0"/>
      </rPr>
      <t>Hl</t>
    </r>
  </si>
  <si>
    <t>Ex</t>
  </si>
  <si>
    <t>. . .</t>
  </si>
  <si>
    <r>
      <rPr>
        <sz val="7"/>
        <rFont val="Times New Roman"/>
        <family val="0"/>
      </rPr>
      <t xml:space="preserve">Designation des </t>
    </r>
  </si>
  <si>
    <t>Nomenclature de</t>
  </si>
  <si>
    <t>Unité de</t>
  </si>
  <si>
    <t xml:space="preserve">     Taux de TVA</t>
  </si>
  <si>
    <t>produits</t>
  </si>
  <si>
    <t>dédouanement</t>
  </si>
  <si>
    <t>perception</t>
  </si>
  <si>
    <t>Métropole</t>
  </si>
  <si>
    <t>Corse</t>
  </si>
  <si>
    <t>Essence d'aviation autre</t>
  </si>
  <si>
    <t>27 10 11 31 00 0 9 F</t>
  </si>
  <si>
    <r>
      <rPr>
        <sz val="7"/>
        <rFont val="Times New Roman"/>
        <family val="0"/>
      </rPr>
      <t>E/hl</t>
    </r>
  </si>
  <si>
    <t>Carburéacteurs</t>
  </si>
  <si>
    <t>27 10 11 70 000 1 A</t>
  </si>
  <si>
    <r>
      <rPr>
        <sz val="7"/>
        <rFont val="Times New Roman"/>
        <family val="0"/>
      </rPr>
      <t>E/hl</t>
    </r>
  </si>
  <si>
    <t>27 10 19 21 000 1 M</t>
  </si>
  <si>
    <t xml:space="preserve">Super sans plomb d'une teneur en </t>
  </si>
  <si>
    <t>27 10 11 41 000 1 J</t>
  </si>
  <si>
    <t>plomb n'excédant pas 0,005 g par l</t>
  </si>
  <si>
    <t>27 10 11 45 000 5 V</t>
  </si>
  <si>
    <r>
      <rPr>
        <sz val="7"/>
        <rFont val="Times New Roman"/>
        <family val="0"/>
      </rPr>
      <t>E/hL</t>
    </r>
  </si>
  <si>
    <t>et dont l'indice d'octane est &lt; à 98</t>
  </si>
  <si>
    <t xml:space="preserve">Super sans plomb d'une teneur en </t>
  </si>
  <si>
    <t>27 10 11 49 000 5 M</t>
  </si>
  <si>
    <t>plomb n'excédant pas 0,005 g par l</t>
  </si>
  <si>
    <r>
      <rPr>
        <sz val="7"/>
        <rFont val="Times New Roman"/>
        <family val="0"/>
      </rPr>
      <t>E/hL</t>
    </r>
  </si>
  <si>
    <t>et dont l'indice d'octane est de 98 ou plus</t>
  </si>
  <si>
    <t xml:space="preserve">Super sans plomb d'une teneur en </t>
  </si>
  <si>
    <t>27 10 11 45 000 1 H</t>
  </si>
  <si>
    <t>plomb n'excédant pas 0,005 g par l</t>
  </si>
  <si>
    <t>27 10 11 45 000 3 E</t>
  </si>
  <si>
    <r>
      <rPr>
        <sz val="7"/>
        <rFont val="Times New Roman"/>
        <family val="0"/>
      </rPr>
      <t>E/hL</t>
    </r>
  </si>
  <si>
    <t xml:space="preserve">contenant un additif </t>
  </si>
  <si>
    <t>27 10 11 49 000 1 N</t>
  </si>
  <si>
    <t>27 10 11 49 000 3 D</t>
  </si>
  <si>
    <t>Gazole soufre &lt;0,05%</t>
  </si>
  <si>
    <t>27 10 19 41 000 5 N</t>
  </si>
  <si>
    <r>
      <rPr>
        <sz val="7"/>
        <rFont val="Times New Roman"/>
        <family val="0"/>
      </rPr>
      <t>E/hl</t>
    </r>
  </si>
  <si>
    <t>27 10 19 41 000 9 M</t>
  </si>
  <si>
    <t xml:space="preserve">Gazole soufre&gt;0,05% </t>
  </si>
  <si>
    <t>27 10 19 45 000 9 Q</t>
  </si>
  <si>
    <r>
      <rPr>
        <sz val="7"/>
        <rFont val="Times New Roman"/>
        <family val="0"/>
      </rPr>
      <t>E/hl</t>
    </r>
  </si>
  <si>
    <t>mais &lt; ou = à 0,2 %</t>
  </si>
  <si>
    <t xml:space="preserve">Gazole soufre&gt;0,2% </t>
  </si>
  <si>
    <t>27 10 19 49 000 9 A</t>
  </si>
  <si>
    <r>
      <rPr>
        <sz val="7"/>
        <rFont val="Times New Roman"/>
        <family val="0"/>
      </rPr>
      <t>E/Hl</t>
    </r>
  </si>
  <si>
    <r>
      <rPr>
        <sz val="7"/>
        <rFont val="Times New Roman"/>
        <family val="0"/>
      </rPr>
      <t>Fioul oil</t>
    </r>
  </si>
  <si>
    <t>27 10 19 61 000 1 P</t>
  </si>
  <si>
    <r>
      <rPr>
        <sz val="7"/>
        <rFont val="Times New Roman"/>
        <family val="0"/>
      </rPr>
      <t>E/hl</t>
    </r>
  </si>
  <si>
    <t>27 10 19 63 000 1 V</t>
  </si>
  <si>
    <t>27 10 19 65 000 1 B</t>
  </si>
  <si>
    <t>27 10 19 69 000 1 J</t>
  </si>
  <si>
    <r>
      <rPr>
        <sz val="7"/>
        <rFont val="Times New Roman"/>
        <family val="0"/>
      </rPr>
      <t>Fioul lourd BTS</t>
    </r>
  </si>
  <si>
    <t>27 10 19 61 000 5 R</t>
  </si>
  <si>
    <t>E/100 Kg</t>
  </si>
  <si>
    <t>27 10 19 63 000 5 T</t>
  </si>
  <si>
    <r>
      <rPr>
        <sz val="7"/>
        <rFont val="Times New Roman"/>
        <family val="0"/>
      </rPr>
      <t>Fiouls lourds HTS</t>
    </r>
  </si>
  <si>
    <t>27 10 19 65 000 5 X</t>
  </si>
  <si>
    <t>E/100 Kg</t>
  </si>
  <si>
    <t>27 10 19 69 000 5 W</t>
  </si>
  <si>
    <t>gaz de pétrole liquéfié</t>
  </si>
  <si>
    <t>propane destiné à être utilisé</t>
  </si>
  <si>
    <t>27 11.12.97.00.0.2 E</t>
  </si>
  <si>
    <t>E/100 Kg</t>
  </si>
  <si>
    <t>comme carburant</t>
  </si>
  <si>
    <t>gaz de pétrole liquéfié</t>
  </si>
  <si>
    <t>butane destiné à être utilisé</t>
  </si>
  <si>
    <t>27 11.13.97.00.0.2 T</t>
  </si>
  <si>
    <t>E/100 Kg</t>
  </si>
  <si>
    <t>comme carburant</t>
  </si>
  <si>
    <t>autres gaz de pétrole liquéfiés</t>
  </si>
  <si>
    <t xml:space="preserve"> destinés à être utilisé comme carburant</t>
  </si>
  <si>
    <t>27 11.19.00.00.0.2 H</t>
  </si>
  <si>
    <t>E/100 Kg</t>
  </si>
  <si>
    <t>27 10 19 81 000 1 Y</t>
  </si>
  <si>
    <t>27 10 19 81 000 9 P</t>
  </si>
  <si>
    <t>Lubrifiants et</t>
  </si>
  <si>
    <t>27 10 19 83 000 1 G</t>
  </si>
  <si>
    <t>préparations lubrifiantes</t>
  </si>
  <si>
    <t>27 10 19 83 000 9 V</t>
  </si>
  <si>
    <t>E/100 Kg</t>
  </si>
  <si>
    <t>27 10 19 85 000 0 T</t>
  </si>
  <si>
    <t>27 10 19 87 000 1 C</t>
  </si>
  <si>
    <t>27 10 19 87 000 9 M</t>
  </si>
  <si>
    <t>27 10 19 91 000 1 E</t>
  </si>
  <si>
    <t>27 10 19 91 000 9 Q</t>
  </si>
  <si>
    <t>27 10 19 93 000 1 S</t>
  </si>
  <si>
    <t>27 10 19 93 000 9 H</t>
  </si>
  <si>
    <t>27 10 19 99 000 1 T</t>
  </si>
  <si>
    <t>27 10 19 99 000 9 L</t>
  </si>
  <si>
    <r>
      <rPr>
        <sz val="7"/>
        <rFont val="Times New Roman"/>
        <family val="0"/>
      </rPr>
      <t>Emulsions d'eau dans du</t>
    </r>
  </si>
  <si>
    <t>38 24 90 99 90 0 2 E</t>
  </si>
  <si>
    <r>
      <rPr>
        <sz val="7"/>
        <rFont val="Times New Roman"/>
        <family val="0"/>
      </rPr>
      <t>E/hl</t>
    </r>
  </si>
  <si>
    <t>gazole, carburant</t>
  </si>
  <si>
    <r>
      <rPr>
        <sz val="7"/>
        <rFont val="Times New Roman"/>
        <family val="0"/>
      </rPr>
      <t xml:space="preserve">Designation des </t>
    </r>
  </si>
  <si>
    <r>
      <rPr>
        <sz val="7"/>
        <rFont val="Times New Roman"/>
        <family val="0"/>
      </rPr>
      <t>Designatio</t>
    </r>
  </si>
  <si>
    <t>Unité de</t>
  </si>
  <si>
    <t>Rémunération</t>
  </si>
  <si>
    <t xml:space="preserve">     Taux de TVA</t>
  </si>
  <si>
    <t>produits</t>
  </si>
  <si>
    <t>dédouanement</t>
  </si>
  <si>
    <t>perception</t>
  </si>
  <si>
    <t>CPSSP</t>
  </si>
  <si>
    <t>Métropole</t>
  </si>
  <si>
    <t>Corse</t>
  </si>
  <si>
    <t>Essence d'aviation autre</t>
  </si>
  <si>
    <t>27 10 11 31 00 0 9 F</t>
  </si>
  <si>
    <r>
      <rPr>
        <sz val="7"/>
        <rFont val="Times New Roman"/>
        <family val="0"/>
      </rPr>
      <t>E/hl</t>
    </r>
  </si>
  <si>
    <t xml:space="preserve">Super sans plomb d'une teneur en </t>
  </si>
  <si>
    <t>27 10 11 41 00 0 1 J</t>
  </si>
  <si>
    <t>plomb n'excédant pas 0,005 g par l</t>
  </si>
  <si>
    <t>27 10 11 45 00 0 5 V</t>
  </si>
  <si>
    <r>
      <rPr>
        <sz val="7"/>
        <rFont val="Times New Roman"/>
        <family val="0"/>
      </rPr>
      <t>E/hl</t>
    </r>
  </si>
  <si>
    <t>et dont l'indice d'octane est &lt; à 98</t>
  </si>
  <si>
    <t xml:space="preserve">Super sans plomb d'une teneur en </t>
  </si>
  <si>
    <t>plomb n'excédant pas 0,005 g par l</t>
  </si>
  <si>
    <t>27 10 11 49 00 0 5 M</t>
  </si>
  <si>
    <r>
      <rPr>
        <sz val="7"/>
        <rFont val="Times New Roman"/>
        <family val="0"/>
      </rPr>
      <t>E/hl</t>
    </r>
  </si>
  <si>
    <t>et dont l'indice d'octane est de 98 ou plus</t>
  </si>
  <si>
    <t xml:space="preserve">Super sans plomb d'une teneur en </t>
  </si>
  <si>
    <t>27 10 11 45 00 0 1 H</t>
  </si>
  <si>
    <t>plomb n'excédant pas 0,005 g par l</t>
  </si>
  <si>
    <t>27 10 11 45 00 0 3 E</t>
  </si>
  <si>
    <r>
      <rPr>
        <sz val="7"/>
        <rFont val="Times New Roman"/>
        <family val="0"/>
      </rPr>
      <t>E/hl</t>
    </r>
  </si>
  <si>
    <t xml:space="preserve">contenant un additif </t>
  </si>
  <si>
    <t>27 10 11 49 00 0 1 N</t>
  </si>
  <si>
    <t>27 10 11 49 00 0 3 D</t>
  </si>
  <si>
    <r>
      <rPr>
        <sz val="7"/>
        <rFont val="Times New Roman"/>
        <family val="0"/>
      </rPr>
      <t>Carbureacteurs aéronefs</t>
    </r>
  </si>
  <si>
    <t>27 10 11 70 00 0 1 A</t>
  </si>
  <si>
    <r>
      <rPr>
        <sz val="7"/>
        <rFont val="Times New Roman"/>
        <family val="0"/>
      </rPr>
      <t>E/hl</t>
    </r>
  </si>
  <si>
    <t>27 10 19 21 00 0 1 M</t>
  </si>
  <si>
    <t>Carburéacteurs sous condition</t>
  </si>
  <si>
    <t>27 10 11 70 00 0 2 P</t>
  </si>
  <si>
    <r>
      <rPr>
        <sz val="7"/>
        <rFont val="Times New Roman"/>
        <family val="0"/>
      </rPr>
      <t>E/hl</t>
    </r>
  </si>
  <si>
    <t>d'emploi</t>
  </si>
  <si>
    <t>27 10 19 21 00 0 2 T</t>
  </si>
  <si>
    <t>Carburéacteurs type essence autre</t>
  </si>
  <si>
    <t>27 10 11 70 00 0 9 X</t>
  </si>
  <si>
    <r>
      <rPr>
        <sz val="7"/>
        <rFont val="Times New Roman"/>
        <family val="0"/>
      </rPr>
      <t>E/hl</t>
    </r>
  </si>
  <si>
    <r>
      <rPr>
        <sz val="7"/>
        <rFont val="Times New Roman"/>
        <family val="0"/>
      </rPr>
      <t>Carburéacteur type P.lampant autre</t>
    </r>
  </si>
  <si>
    <t>27 10 19 21 00 0 9 S</t>
  </si>
  <si>
    <r>
      <rPr>
        <sz val="7"/>
        <rFont val="Times New Roman"/>
        <family val="0"/>
      </rPr>
      <t>E/hl</t>
    </r>
  </si>
  <si>
    <t>Pétrole lampant combustible</t>
  </si>
  <si>
    <t>27 10 19 25 00 0 1 Q</t>
  </si>
  <si>
    <r>
      <rPr>
        <sz val="7"/>
        <rFont val="Times New Roman"/>
        <family val="0"/>
      </rPr>
      <t>E/hl</t>
    </r>
  </si>
  <si>
    <t>27 10 19 25 00 0 2 K</t>
  </si>
  <si>
    <t>Pétrole lampant carburant</t>
  </si>
  <si>
    <t>27 10 19 25 00 0 3 Z</t>
  </si>
  <si>
    <r>
      <rPr>
        <sz val="7"/>
        <rFont val="Times New Roman"/>
        <family val="0"/>
      </rPr>
      <t>E/hl</t>
    </r>
  </si>
  <si>
    <t>FOD soufre &lt;0,05%</t>
  </si>
  <si>
    <t>27 10 19 41 00 0 1 C</t>
  </si>
  <si>
    <r>
      <rPr>
        <sz val="7"/>
        <rFont val="Times New Roman"/>
        <family val="0"/>
      </rPr>
      <t>E/hl</t>
    </r>
  </si>
  <si>
    <t>FOD soufre &gt;0,05%</t>
  </si>
  <si>
    <t xml:space="preserve"> 27 10 19 45 00 0 1 E</t>
  </si>
  <si>
    <r>
      <rPr>
        <sz val="7"/>
        <rFont val="Times New Roman"/>
        <family val="0"/>
      </rPr>
      <t>E/hl</t>
    </r>
  </si>
  <si>
    <t>Gazole soufre &lt;0,05%</t>
  </si>
  <si>
    <t>27 10 19 41 00 0 4 E</t>
  </si>
  <si>
    <r>
      <rPr>
        <sz val="7"/>
        <rFont val="Times New Roman"/>
        <family val="0"/>
      </rPr>
      <t>E/hl</t>
    </r>
  </si>
  <si>
    <t>27 10 19 41 00 0 9 M</t>
  </si>
  <si>
    <t>Gazole soufre&gt;0,05% mais &lt; ou = à 0,2 %</t>
  </si>
  <si>
    <t>27 10 19 45 00 0 9 Q</t>
  </si>
  <si>
    <r>
      <rPr>
        <sz val="7"/>
        <rFont val="Times New Roman"/>
        <family val="0"/>
      </rPr>
      <t>E/hl</t>
    </r>
  </si>
  <si>
    <t>Gazole soufre &gt;0,2%</t>
  </si>
  <si>
    <t>27 10 19 49 00 0 9 A</t>
  </si>
  <si>
    <r>
      <rPr>
        <sz val="7"/>
        <rFont val="Times New Roman"/>
        <family val="0"/>
      </rPr>
      <t>E/hl</t>
    </r>
  </si>
  <si>
    <r>
      <rPr>
        <sz val="7"/>
        <rFont val="Times New Roman"/>
        <family val="0"/>
      </rPr>
      <t>Fioul lourd BTS</t>
    </r>
  </si>
  <si>
    <t>27 10 19 61 00 0 5 R</t>
  </si>
  <si>
    <t>E/Q</t>
  </si>
  <si>
    <t>27 10 19 63 00 0 5 T</t>
  </si>
  <si>
    <r>
      <rPr>
        <sz val="7"/>
        <rFont val="Times New Roman"/>
        <family val="0"/>
      </rPr>
      <t xml:space="preserve">Fioul lourd HTS </t>
    </r>
  </si>
  <si>
    <t>27 10 19 65 00 0 4 J</t>
  </si>
  <si>
    <t>27 10 19 65 00 0 5 X</t>
  </si>
  <si>
    <t>E/Q</t>
  </si>
  <si>
    <t>27 10 19 69 00 0 4 H</t>
  </si>
  <si>
    <t>27 10 19 69 00 0 5 W</t>
  </si>
  <si>
    <t>L</t>
  </si>
  <si>
    <t>Codification</t>
  </si>
  <si>
    <t xml:space="preserve">  Droits de</t>
  </si>
  <si>
    <r>
      <rPr>
        <sz val="7"/>
        <rFont val="Antique Olive (W1)"/>
        <family val="2"/>
      </rPr>
      <t>Contrôle du com-</t>
    </r>
  </si>
  <si>
    <t xml:space="preserve">Valeur </t>
  </si>
  <si>
    <t>Unité</t>
  </si>
  <si>
    <t xml:space="preserve">        Droits de</t>
  </si>
  <si>
    <t xml:space="preserve">      FISCALITE</t>
  </si>
  <si>
    <t>TEC</t>
  </si>
  <si>
    <t>VALEURS FORFAITAIRES euros</t>
  </si>
  <si>
    <t>TIPP euros</t>
  </si>
  <si>
    <t>Taxe CPSSP euros</t>
  </si>
  <si>
    <t>I</t>
  </si>
  <si>
    <t>Nomenclature</t>
  </si>
  <si>
    <t>U.S.</t>
  </si>
  <si>
    <t xml:space="preserve">       douane</t>
  </si>
  <si>
    <r>
      <rPr>
        <sz val="7"/>
        <rFont val="Antique Olive (W1)"/>
        <family val="0"/>
      </rPr>
      <t xml:space="preserve">  merce exterieur</t>
    </r>
  </si>
  <si>
    <t>imposable</t>
  </si>
  <si>
    <t xml:space="preserve">de </t>
  </si>
  <si>
    <t xml:space="preserve">       douane</t>
  </si>
  <si>
    <t>Taxe</t>
  </si>
  <si>
    <r>
      <rPr>
        <sz val="7"/>
        <rFont val="Antique Olive (W1)"/>
        <family val="0"/>
      </rPr>
      <t>Rému-</t>
    </r>
  </si>
  <si>
    <t xml:space="preserve">   T.V.A. (12)</t>
  </si>
  <si>
    <t>TAX</t>
  </si>
  <si>
    <t>TAX</t>
  </si>
  <si>
    <t>TAX</t>
  </si>
  <si>
    <t>LIB</t>
  </si>
  <si>
    <t>LIB</t>
  </si>
  <si>
    <r>
      <rPr>
        <sz val="7"/>
        <rFont val="Antique Olive (W1)"/>
        <family val="0"/>
      </rPr>
      <t>TEChuilelégère</t>
    </r>
  </si>
  <si>
    <t>Essences spéciales</t>
  </si>
  <si>
    <t>Super sans plomb</t>
  </si>
  <si>
    <t>Essence-auto</t>
  </si>
  <si>
    <t>G</t>
  </si>
  <si>
    <t>NDP</t>
  </si>
  <si>
    <t>T.E.C.</t>
  </si>
  <si>
    <r>
      <rPr>
        <sz val="7"/>
        <rFont val="Antique Olive (W1)"/>
        <family val="0"/>
      </rPr>
      <t>Impor-</t>
    </r>
  </si>
  <si>
    <r>
      <rPr>
        <sz val="7"/>
        <rFont val="Antique Olive (W1)"/>
        <family val="0"/>
      </rPr>
      <t>Export-</t>
    </r>
  </si>
  <si>
    <t xml:space="preserve">à la TVA </t>
  </si>
  <si>
    <r>
      <rPr>
        <sz val="7"/>
        <rFont val="Antique Olive (W1)"/>
        <family val="0"/>
      </rPr>
      <t>percep-</t>
    </r>
  </si>
  <si>
    <t>T.E.C.</t>
  </si>
  <si>
    <t>intérieure</t>
  </si>
  <si>
    <t>TGAP</t>
  </si>
  <si>
    <r>
      <rPr>
        <sz val="7"/>
        <rFont val="Antique Olive (W1)"/>
        <family val="0"/>
      </rPr>
      <t>nération</t>
    </r>
  </si>
  <si>
    <r>
      <rPr>
        <sz val="7"/>
        <rFont val="Antique Olive (W1)"/>
        <family val="0"/>
      </rPr>
      <t>Conti-</t>
    </r>
  </si>
  <si>
    <t>Corse</t>
  </si>
  <si>
    <t>TIPP</t>
  </si>
  <si>
    <t>CPSSP</t>
  </si>
  <si>
    <t>TVA</t>
  </si>
  <si>
    <r>
      <rPr>
        <sz val="7"/>
        <rFont val="Antique Olive (W1)"/>
        <family val="0"/>
      </rPr>
      <t>TEChuilemoyenne</t>
    </r>
  </si>
  <si>
    <r>
      <rPr>
        <sz val="7"/>
        <rFont val="Antique Olive (W1)"/>
        <family val="0"/>
      </rPr>
      <t>Super additivé ARS</t>
    </r>
  </si>
  <si>
    <t>Essence aviation</t>
  </si>
  <si>
    <t>TGAP euros</t>
  </si>
  <si>
    <t>E/Q</t>
  </si>
  <si>
    <t>I</t>
  </si>
  <si>
    <t>Supercarburant</t>
  </si>
  <si>
    <t>N</t>
  </si>
  <si>
    <t>(2)</t>
  </si>
  <si>
    <r>
      <rPr>
        <sz val="7"/>
        <rFont val="Antique Olive (W1)"/>
        <family val="0"/>
      </rPr>
      <t>tation</t>
    </r>
  </si>
  <si>
    <r>
      <rPr>
        <sz val="7"/>
        <rFont val="Antique Olive (W1)"/>
        <family val="0"/>
      </rPr>
      <t>tation</t>
    </r>
  </si>
  <si>
    <t xml:space="preserve">hors droits </t>
  </si>
  <si>
    <r>
      <rPr>
        <sz val="7"/>
        <rFont val="Antique Olive (W1)"/>
        <family val="0"/>
      </rPr>
      <t>tion</t>
    </r>
  </si>
  <si>
    <t>T.I.P.P.</t>
  </si>
  <si>
    <t>CPSSP</t>
  </si>
  <si>
    <r>
      <rPr>
        <sz val="7"/>
        <rFont val="Antique Olive (W1)"/>
        <family val="0"/>
      </rPr>
      <t>nent</t>
    </r>
  </si>
  <si>
    <r>
      <rPr>
        <sz val="7"/>
        <rFont val="Antique Olive (W1)"/>
        <family val="0"/>
      </rPr>
      <t>TEChuilelourde</t>
    </r>
  </si>
  <si>
    <t>Super sans plomb (95)</t>
  </si>
  <si>
    <t>Super ARS</t>
  </si>
  <si>
    <t>Super sans plomb</t>
  </si>
  <si>
    <t>E</t>
  </si>
  <si>
    <t>et taxes</t>
  </si>
  <si>
    <t>TEC2707</t>
  </si>
  <si>
    <t>Carburéacteur</t>
  </si>
  <si>
    <r>
      <rPr>
        <sz val="7"/>
        <rFont val="Antique Olive (W1)"/>
        <family val="0"/>
      </rPr>
      <t>TEClubrifiant</t>
    </r>
  </si>
  <si>
    <t>Essence aviation</t>
  </si>
  <si>
    <t>Essence aviation</t>
  </si>
  <si>
    <r>
      <rPr>
        <sz val="7"/>
        <rFont val="Antique Olive (W1)"/>
        <family val="0"/>
      </rPr>
      <t>TECpropanebutane</t>
    </r>
  </si>
  <si>
    <t>Pétrole lampant</t>
  </si>
  <si>
    <r>
      <rPr>
        <sz val="7"/>
        <rFont val="Antique Olive (W1)"/>
        <family val="0"/>
      </rPr>
      <t>FOD/lampant-White comb.</t>
    </r>
  </si>
  <si>
    <t>Gazole</t>
  </si>
  <si>
    <r>
      <rPr>
        <b/>
        <sz val="7"/>
        <rFont val="Antique Olive (W1)"/>
        <family val="0"/>
      </rPr>
      <t xml:space="preserve">Goudrons de houille, de lignite ou de tourbe et autres goudrons minéraux même déshydratés ou ététés, y compris les goudrons reconstitués : </t>
    </r>
  </si>
  <si>
    <t xml:space="preserve"> </t>
  </si>
  <si>
    <t>TEC27121090</t>
  </si>
  <si>
    <t>Gazole</t>
  </si>
  <si>
    <t>gazole / lampant</t>
  </si>
  <si>
    <t>II</t>
  </si>
  <si>
    <t>FOD</t>
  </si>
  <si>
    <t>. . .</t>
  </si>
  <si>
    <t xml:space="preserve">Attention des droits de douane </t>
  </si>
  <si>
    <t>TEC27122090</t>
  </si>
  <si>
    <r>
      <rPr>
        <sz val="7"/>
        <rFont val="Antique Olive (W1)"/>
        <family val="0"/>
      </rPr>
      <t>Fioul HTS</t>
    </r>
  </si>
  <si>
    <r>
      <rPr>
        <sz val="7"/>
        <rFont val="Antique Olive (W1)"/>
        <family val="0"/>
      </rPr>
      <t>fioul BTS</t>
    </r>
  </si>
  <si>
    <r>
      <rPr>
        <sz val="7"/>
        <rFont val="Antique Olive (W1)"/>
        <family val="0"/>
      </rPr>
      <t>Petrole lampant</t>
    </r>
  </si>
  <si>
    <t>27 06.00.00.00.0.1 A</t>
  </si>
  <si>
    <t xml:space="preserve"> - Goudrons de houille, de lignite ou de tourbe et autres goudrons minéraux destinés à être utilisés comme combustible (30) (26)…………………………………………………………………………</t>
  </si>
  <si>
    <t>Ex</t>
  </si>
  <si>
    <t>. . .</t>
  </si>
  <si>
    <t>100 Kg</t>
  </si>
  <si>
    <t>Ex</t>
  </si>
  <si>
    <t xml:space="preserve">en valeur forfaitaire </t>
  </si>
  <si>
    <t>TEC27129039</t>
  </si>
  <si>
    <r>
      <rPr>
        <sz val="7"/>
        <rFont val="Antique Olive (W1)"/>
        <family val="0"/>
      </rPr>
      <t>Fioul BTS</t>
    </r>
  </si>
  <si>
    <t>III</t>
  </si>
  <si>
    <t>Carburéacteur</t>
  </si>
  <si>
    <t>27 06.00.00.00.0.9 X</t>
  </si>
  <si>
    <t xml:space="preserve"> - Autres  (13)………………………………………………………………………………………………………….</t>
  </si>
  <si>
    <t>Ex</t>
  </si>
  <si>
    <t>. . .</t>
  </si>
  <si>
    <t>Ex</t>
  </si>
  <si>
    <t>Ex</t>
  </si>
  <si>
    <t xml:space="preserve">sont masqués (colonnes K et L) </t>
  </si>
  <si>
    <t>TEC27129099</t>
  </si>
  <si>
    <t>Butane</t>
  </si>
  <si>
    <t>Goudron houille</t>
  </si>
  <si>
    <t>IV</t>
  </si>
  <si>
    <r>
      <rPr>
        <sz val="7"/>
        <rFont val="Antique Olive (W1)"/>
        <family val="0"/>
      </rPr>
      <t>Fioul lourd</t>
    </r>
  </si>
  <si>
    <t xml:space="preserve">mais servent pour le calcul </t>
  </si>
  <si>
    <t>TEC3403</t>
  </si>
  <si>
    <t>Propane</t>
  </si>
  <si>
    <t>GPLC</t>
  </si>
  <si>
    <r>
      <rPr>
        <sz val="7"/>
        <rFont val="Antique Olive (W1)"/>
        <family val="0"/>
      </rPr>
      <t>tx 21janvier 04</t>
    </r>
  </si>
  <si>
    <t>de la TVA</t>
  </si>
  <si>
    <t>TEC381121</t>
  </si>
  <si>
    <r>
      <rPr>
        <sz val="7"/>
        <rFont val="Antique Olive (W1)"/>
        <family val="0"/>
      </rPr>
      <t>Huiles et lub.</t>
    </r>
  </si>
  <si>
    <t>GCC</t>
  </si>
  <si>
    <t>TEC381190</t>
  </si>
  <si>
    <r>
      <rPr>
        <sz val="7"/>
        <rFont val="Antique Olive (W1)"/>
        <family val="0"/>
      </rPr>
      <t>White spirit</t>
    </r>
  </si>
  <si>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</si>
  <si>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</si>
  <si>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</si>
  <si>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</si>
  <si>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</si>
  <si>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</si>
  <si>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</si>
  <si>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</si>
  <si>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</si>
  <si>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</si>
  <si>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r>
      <rPr>
        <sz val="7"/>
        <rFont val="Antique Olive (W1)"/>
        <family val="0"/>
      </rPr>
      <t>EEGsce</t>
    </r>
  </si>
  <si>
    <t>TEC271114</t>
  </si>
  <si>
    <t>Paraffines NON BRUTES</t>
  </si>
  <si>
    <r>
      <rPr>
        <sz val="7"/>
        <rFont val="Antique Olive (W1)"/>
        <family val="0"/>
      </rPr>
      <t>EEGcarb</t>
    </r>
  </si>
  <si>
    <t xml:space="preserve"> - Benzol (benzène) :</t>
  </si>
  <si>
    <t>TEC38249095</t>
  </si>
  <si>
    <t>Additifs</t>
  </si>
  <si>
    <t>27 07.10.10.00.0.0 W</t>
  </si>
  <si>
    <t xml:space="preserve"> - - destinés à être utilisés comme carburant ou comme combustible (13)(32)(26)………………………..</t>
  </si>
  <si>
    <r>
      <rPr>
        <sz val="7"/>
        <rFont val="Antique Olive (W1)"/>
        <family val="0"/>
      </rPr>
      <t>Hl</t>
    </r>
  </si>
  <si>
    <t>TVO</t>
  </si>
  <si>
    <t>TEC34031100</t>
  </si>
  <si>
    <t>4.6%</t>
  </si>
  <si>
    <t>FOD</t>
  </si>
  <si>
    <t>27 07.10.90.00.0.0 S</t>
  </si>
  <si>
    <t xml:space="preserve"> - - destinés à d'autres usages (32)……………………………………………………………………………….</t>
  </si>
  <si>
    <t>Ex</t>
  </si>
  <si>
    <t>Ex</t>
  </si>
  <si>
    <t>Ex</t>
  </si>
  <si>
    <t>TVO</t>
  </si>
  <si>
    <t xml:space="preserve"> - Toluol (toluène) :</t>
  </si>
  <si>
    <t>27 07.20.10.00.0.0 S</t>
  </si>
  <si>
    <t xml:space="preserve"> - - destinés à être utilisés comme carburant ou comme combustible (13) (32)(26)………………………..</t>
  </si>
  <si>
    <r>
      <rPr>
        <sz val="7"/>
        <rFont val="Antique Olive (W1)"/>
        <family val="0"/>
      </rPr>
      <t>Hl</t>
    </r>
  </si>
  <si>
    <t>27 07.20.90.00.0.0 Y</t>
  </si>
  <si>
    <t xml:space="preserve"> - - destinés à d'autres usages (32) ………………………………………………………………………………</t>
  </si>
  <si>
    <t>Ex</t>
  </si>
  <si>
    <t>Ex</t>
  </si>
  <si>
    <t>Ex</t>
  </si>
  <si>
    <r>
      <rPr>
        <i/>
        <sz val="7"/>
        <rFont val="Antique Olive (W1)"/>
        <family val="0"/>
      </rPr>
      <t xml:space="preserve"> - Xylol (xylènes) :</t>
    </r>
  </si>
  <si>
    <t>27 07.30.10.00.0.0 Y</t>
  </si>
  <si>
    <t xml:space="preserve"> - - destinés à être utilisés comme carburant ou comme combustible (13) (32)(26)………………………..</t>
  </si>
  <si>
    <r>
      <rPr>
        <sz val="7"/>
        <rFont val="Antique Olive (W1)"/>
        <family val="0"/>
      </rPr>
      <t>Hl</t>
    </r>
  </si>
  <si>
    <t>27 07.30.90.00.0.0 J</t>
  </si>
  <si>
    <t xml:space="preserve"> - - destinés à d'autres usages (32)………………………………………………………………………………</t>
  </si>
  <si>
    <t>Ex</t>
  </si>
  <si>
    <t>Ex</t>
  </si>
  <si>
    <t>Ex</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</si>
  <si>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</si>
  <si>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</si>
  <si>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</si>
  <si>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 xml:space="preserve"> - - - présentant les caractéristiques d'une huile légère  (13)(30)(32)(26)………………………………………….</t>
  </si>
  <si>
    <r>
      <rPr>
        <sz val="7"/>
        <rFont val="Antique Olive (W1)"/>
        <family val="0"/>
      </rPr>
      <t>Hl</t>
    </r>
  </si>
  <si>
    <t>27 07.50.10.00.0.9 J</t>
  </si>
  <si>
    <t xml:space="preserve"> - - - présentant les caractéristiques d'une huile moyenne (13)(30)(32)(26)………………………………………..</t>
  </si>
  <si>
    <r>
      <rPr>
        <sz val="7"/>
        <rFont val="Antique Olive (W1)"/>
        <family val="0"/>
      </rPr>
      <t>Hl</t>
    </r>
  </si>
  <si>
    <t>27 07.50.90.00.0.0 E</t>
  </si>
  <si>
    <t xml:space="preserve"> - - destinés à d'autres usages (32) ………………………………………………………………………………</t>
  </si>
  <si>
    <t>Ex</t>
  </si>
  <si>
    <t>Ex</t>
  </si>
  <si>
    <t>Ex</t>
  </si>
  <si>
    <r>
      <rPr>
        <b/>
        <i/>
        <sz val="7"/>
        <rFont val="Antique Olive (W1)"/>
        <family val="0"/>
      </rPr>
      <t xml:space="preserve"> -  </t>
    </r>
    <r>
      <rPr>
        <i/>
        <sz val="7"/>
        <rFont val="Antique Olive (W1)"/>
        <family val="0"/>
      </rPr>
      <t>Autres</t>
    </r>
  </si>
  <si>
    <t xml:space="preserve"> - - Huiles de créosote</t>
  </si>
  <si>
    <t>27 07.91.00.00.0.1 F</t>
  </si>
  <si>
    <t xml:space="preserve"> - - - destinées à être utilisées comme combustible(26) …………………………………………………</t>
  </si>
  <si>
    <r>
      <rPr>
        <sz val="7"/>
        <rFont val="Antique Olive (W1)"/>
        <family val="0"/>
      </rPr>
      <t>Hl</t>
    </r>
  </si>
  <si>
    <t>. . .</t>
  </si>
  <si>
    <t>. . .</t>
  </si>
  <si>
    <t>27 07.91.00.00.0.9 B</t>
  </si>
  <si>
    <t xml:space="preserve"> - - - autres (13)……………………………………………………………………………………………………….</t>
  </si>
  <si>
    <t>. . .</t>
  </si>
  <si>
    <t>Ex</t>
  </si>
  <si>
    <t>. . .</t>
  </si>
  <si>
    <t>. . .</t>
  </si>
  <si>
    <t xml:space="preserve"> - - Autres</t>
  </si>
  <si>
    <t xml:space="preserve"> - - - Huiles brutes</t>
  </si>
  <si>
    <t xml:space="preserve"> - - - - Huiles légères brutes distillant  90 % ou plus de leur volume jusqu'à 200 °C   </t>
  </si>
  <si>
    <r>
      <rPr>
        <sz val="7"/>
        <rFont val="Antique Olive (W1)"/>
        <family val="0"/>
      </rPr>
      <t xml:space="preserve"> - - - - - Huiles légères brutes contenant en poids 10 % ou plus de vinyltoluènes, 10 %   </t>
    </r>
  </si>
  <si>
    <r>
      <rPr>
        <sz val="7"/>
        <rFont val="Antique Olive (W1)"/>
        <family val="0"/>
      </rPr>
      <t xml:space="preserve">           ou plus d'indène et 1 % ou plus mais pas plus de 5 % de naphtalène</t>
    </r>
  </si>
  <si>
    <t>27 07.99.11.10.0.1 A</t>
  </si>
  <si>
    <t xml:space="preserve">                * destinées à être utilisées comme combustible (26)……………………………………….</t>
  </si>
  <si>
    <t>. . .</t>
  </si>
  <si>
    <r>
      <rPr>
        <sz val="7"/>
        <rFont val="Antique Olive (W1)"/>
        <family val="0"/>
      </rPr>
      <t>Hl</t>
    </r>
  </si>
  <si>
    <t>. . .</t>
  </si>
  <si>
    <t>. . .</t>
  </si>
  <si>
    <t>27 07.99.11.10.0.9 X</t>
  </si>
  <si>
    <t xml:space="preserve">                * autres (13)……………………………………………………………………………………………...</t>
  </si>
  <si>
    <t>. . .</t>
  </si>
  <si>
    <t>Ex</t>
  </si>
  <si>
    <t>. . .</t>
  </si>
  <si>
    <t>. . .</t>
  </si>
  <si>
    <t xml:space="preserve"> - - - - - Autres  </t>
  </si>
  <si>
    <t>27 07.99.11.90.0.1 F</t>
  </si>
  <si>
    <t xml:space="preserve">                * destinées à être utilisées comme combustible(26) ………………………………………</t>
  </si>
  <si>
    <t>. . .</t>
  </si>
  <si>
    <r>
      <rPr>
        <sz val="7"/>
        <rFont val="Antique Olive (W1)"/>
        <family val="0"/>
      </rPr>
      <t>Hl</t>
    </r>
  </si>
  <si>
    <t>. . .</t>
  </si>
  <si>
    <t>. . .</t>
  </si>
  <si>
    <t>27 07.99.11.90.0.9 B</t>
  </si>
  <si>
    <r>
      <rPr>
        <sz val="7"/>
        <rFont val="Antique Olive (W1)"/>
        <family val="0"/>
      </rPr>
      <t xml:space="preserve">                * autres  (13) ……………………………………………………………………………………………...</t>
    </r>
  </si>
  <si>
    <t>. . .</t>
  </si>
  <si>
    <t>Ex</t>
  </si>
  <si>
    <t>. . .</t>
  </si>
  <si>
    <t>. . .</t>
  </si>
  <si>
    <t xml:space="preserve"> - - - - Autres</t>
  </si>
  <si>
    <t>27 07.99.19.00.0.1 T</t>
  </si>
  <si>
    <t xml:space="preserve"> - - - - - destinées à être utilisées comme combustible (26)……………………………………………..</t>
  </si>
  <si>
    <t>. . .</t>
  </si>
  <si>
    <t>Ex</t>
  </si>
  <si>
    <r>
      <rPr>
        <sz val="7"/>
        <rFont val="Antique Olive (W1)"/>
        <family val="0"/>
      </rPr>
      <t>Hl</t>
    </r>
  </si>
  <si>
    <t>Ex</t>
  </si>
  <si>
    <t>. . .</t>
  </si>
  <si>
    <t>. . .</t>
  </si>
  <si>
    <t>27 07.99.19.00.0.9 L</t>
  </si>
  <si>
    <t xml:space="preserve"> - - - - - autres (13)…………………………………………………………………………………………………….</t>
  </si>
  <si>
    <t>. . .</t>
  </si>
  <si>
    <t>Ex</t>
  </si>
  <si>
    <t>Ex</t>
  </si>
  <si>
    <t>Ex</t>
  </si>
  <si>
    <t>. . .</t>
  </si>
  <si>
    <t>. . .</t>
  </si>
  <si>
    <t xml:space="preserve">    </t>
  </si>
  <si>
    <t xml:space="preserve"> Huiles brutes de pétrole ou de minéraux bitumineux : </t>
  </si>
  <si>
    <t xml:space="preserve">  </t>
  </si>
  <si>
    <t xml:space="preserve">  </t>
  </si>
  <si>
    <t xml:space="preserve">  </t>
  </si>
  <si>
    <t xml:space="preserve">  </t>
  </si>
  <si>
    <t xml:space="preserve">  </t>
  </si>
  <si>
    <t xml:space="preserve">  </t>
  </si>
  <si>
    <t xml:space="preserve">  </t>
  </si>
  <si>
    <t xml:space="preserve">  </t>
  </si>
  <si>
    <t xml:space="preserve">  </t>
  </si>
  <si>
    <t xml:space="preserve">  </t>
  </si>
  <si>
    <r>
      <rPr>
        <i/>
        <sz val="7"/>
        <rFont val="Antique Olive (W1)"/>
        <family val="0"/>
      </rPr>
      <t xml:space="preserve"> - Condensats de gaz naturel</t>
    </r>
  </si>
  <si>
    <t>27 09.00.10.00.0.1 S</t>
  </si>
  <si>
    <t xml:space="preserve"> - - présentant les caractéristiques d'une huile légère (13) (26)(29)(30)………………………………………..</t>
  </si>
  <si>
    <t>Ex</t>
  </si>
  <si>
    <t>C (18)</t>
  </si>
  <si>
    <t>O2 (21)</t>
  </si>
  <si>
    <r>
      <rPr>
        <sz val="7"/>
        <rFont val="Antique Olive (W1)"/>
        <family val="0"/>
      </rPr>
      <t>Hl</t>
    </r>
  </si>
  <si>
    <t>Ex</t>
  </si>
  <si>
    <t>27 09.00.10.00.0.2 L</t>
  </si>
  <si>
    <t xml:space="preserve"> - - présentant les caractéristiques d'une huile moyenne (13)(26) (29)(30)……………………………………</t>
  </si>
  <si>
    <t>Ex</t>
  </si>
  <si>
    <t>C (18)</t>
  </si>
  <si>
    <t>O2 (21)</t>
  </si>
  <si>
    <r>
      <rPr>
        <sz val="7"/>
        <rFont val="Antique Olive (W1)"/>
        <family val="0"/>
      </rPr>
      <t>Hl</t>
    </r>
  </si>
  <si>
    <t>Ex</t>
  </si>
  <si>
    <t>27 09.00.10.00.0.9 H</t>
  </si>
  <si>
    <t xml:space="preserve"> - - présentant les caractéristiques d'une huile lourde (13)(26) (29)(30)………………………………………….</t>
  </si>
  <si>
    <t>Ex</t>
  </si>
  <si>
    <t>C (18)</t>
  </si>
  <si>
    <t>O2 (21)</t>
  </si>
  <si>
    <t>100 Kg</t>
  </si>
  <si>
    <t>Ex</t>
  </si>
  <si>
    <t xml:space="preserve"> - autres</t>
  </si>
  <si>
    <t>27 09.00.90.00.0.1 Y</t>
  </si>
  <si>
    <t xml:space="preserve"> - - présentant les caractéristiques d'une huile légère (13)(26) (29)(30)……………………………………………..</t>
  </si>
  <si>
    <t>Ex</t>
  </si>
  <si>
    <t>C (18)</t>
  </si>
  <si>
    <t>O2 (21)</t>
  </si>
  <si>
    <r>
      <rPr>
        <sz val="7"/>
        <rFont val="Antique Olive (W1)"/>
        <family val="0"/>
      </rPr>
      <t>Hl</t>
    </r>
  </si>
  <si>
    <t>Ex</t>
  </si>
  <si>
    <t>27 09.00.90.00.0.2 M</t>
  </si>
  <si>
    <t xml:space="preserve"> - - présentant les caractéristiques d'une huile moyenne (13) (26)(29)(30)………………………………..………..</t>
  </si>
  <si>
    <t>Ex</t>
  </si>
  <si>
    <t>C (18)</t>
  </si>
  <si>
    <t>O2 (21)</t>
  </si>
  <si>
    <r>
      <rPr>
        <sz val="7"/>
        <rFont val="Antique Olive (W1)"/>
        <family val="0"/>
      </rPr>
      <t>Hl</t>
    </r>
  </si>
  <si>
    <t>Ex</t>
  </si>
  <si>
    <t>27 09.00.90.00.0.9 P</t>
  </si>
  <si>
    <t xml:space="preserve"> - - présentant les caractéristiques d'une huile lourde (13) (26)(29)(30)……………………………………………..</t>
  </si>
  <si>
    <t>Ex</t>
  </si>
  <si>
    <t>C (18)</t>
  </si>
  <si>
    <t>O2 (21)</t>
  </si>
  <si>
    <t>100 Kg</t>
  </si>
  <si>
    <t>Ex</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</si>
  <si>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</si>
  <si>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</si>
  <si>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 xml:space="preserve">    </t>
  </si>
  <si>
    <t xml:space="preserve"> - - Huiles légères et préparations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</si>
  <si>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</si>
  <si>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</si>
  <si>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</si>
  <si>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</si>
  <si>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</si>
  <si>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</si>
  <si>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</si>
  <si>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</si>
  <si>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</si>
  <si>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</si>
  <si>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27 10.11.11.00.0.0 T</t>
  </si>
  <si>
    <t xml:space="preserve"> - - - destinées à subir un traitement défini (3)(30) (32)…………………………………………………………</t>
  </si>
  <si>
    <t>Litre</t>
  </si>
  <si>
    <t>Ex</t>
  </si>
  <si>
    <t>C (18)</t>
  </si>
  <si>
    <t xml:space="preserve"> . . .</t>
  </si>
  <si>
    <r>
      <rPr>
        <sz val="7"/>
        <rFont val="Antique Olive (W1)"/>
        <family val="0"/>
      </rPr>
      <t>Hl</t>
    </r>
  </si>
  <si>
    <t>Ex</t>
  </si>
  <si>
    <t>27 10.11.15.00.0.0 K</t>
  </si>
  <si>
    <t xml:space="preserve"> - - - destinées à subir une transformation chimique par un traitement autre</t>
  </si>
  <si>
    <t xml:space="preserve"> </t>
  </si>
  <si>
    <t xml:space="preserve">     que ceux définis pour la sous position 27 10 11 11 (3) (30) (32)…………………………………………</t>
  </si>
  <si>
    <t>Litre</t>
  </si>
  <si>
    <t>Ex</t>
  </si>
  <si>
    <t>C (18)</t>
  </si>
  <si>
    <t xml:space="preserve"> . . .</t>
  </si>
  <si>
    <r>
      <rPr>
        <sz val="7"/>
        <rFont val="Antique Olive (W1)"/>
        <family val="0"/>
      </rPr>
      <t>Hl</t>
    </r>
  </si>
  <si>
    <t>Ex</t>
  </si>
  <si>
    <t xml:space="preserve"> - - - destinées à d'autres usages :</t>
  </si>
  <si>
    <t xml:space="preserve"> - - - -  Essences spéciales :</t>
  </si>
  <si>
    <r>
      <rPr>
        <sz val="7"/>
        <rFont val="Antique Olive (W1)"/>
        <family val="0"/>
      </rPr>
      <t xml:space="preserve"> - - - - -  White-spirit destiné à être utilisé comme combustible </t>
    </r>
  </si>
  <si>
    <t>27 10.11.21.00.0.1 D</t>
  </si>
  <si>
    <t xml:space="preserve">          * Combustible liquide pour appareil mobile de chauffage (17) (22)(30) (31)…………………….</t>
  </si>
  <si>
    <t>Litre</t>
  </si>
  <si>
    <t>C (18)</t>
  </si>
  <si>
    <t xml:space="preserve"> O2 (21)</t>
  </si>
  <si>
    <r>
      <rPr>
        <sz val="7"/>
        <rFont val="Antique Olive (W1)"/>
        <family val="0"/>
      </rPr>
      <t>Hl</t>
    </r>
  </si>
  <si>
    <t>27 10.11.21.00.0.2 Y</t>
  </si>
  <si>
    <t xml:space="preserve">          * Autre (17)(26)(30) (31)……………………………………………………………………………………………….</t>
  </si>
  <si>
    <t>Litre</t>
  </si>
  <si>
    <t>C (18)</t>
  </si>
  <si>
    <t xml:space="preserve"> O2 (21)</t>
  </si>
  <si>
    <r>
      <rPr>
        <sz val="7"/>
        <rFont val="Antique Olive (W1)"/>
        <family val="0"/>
      </rPr>
      <t>Hl</t>
    </r>
  </si>
  <si>
    <t>27 10.11.21.00.0.9 A</t>
  </si>
  <si>
    <r>
      <rPr>
        <sz val="7"/>
        <rFont val="Antique Olive (W1)"/>
        <family val="0"/>
      </rPr>
      <t xml:space="preserve"> - - - - -  White-spirit, autre (13) (15)(30)(31)………………………………………………………………………………..</t>
    </r>
  </si>
  <si>
    <t>Litre</t>
  </si>
  <si>
    <t>C (18)</t>
  </si>
  <si>
    <t xml:space="preserve"> O2 (21)</t>
  </si>
  <si>
    <r>
      <rPr>
        <sz val="7"/>
        <rFont val="Antique Olive (W1)"/>
        <family val="0"/>
      </rPr>
      <t>Hl</t>
    </r>
  </si>
  <si>
    <t>Ex</t>
  </si>
  <si>
    <t xml:space="preserve"> - - - - -  Autres :</t>
  </si>
  <si>
    <t>27 10.11.25.00.0.1 T</t>
  </si>
  <si>
    <t xml:space="preserve">          * destinées à être utilisées comme  carburant ou combustible (11)(26)(30)(31)……………………..</t>
  </si>
  <si>
    <t>Litre</t>
  </si>
  <si>
    <t xml:space="preserve"> C (18)</t>
  </si>
  <si>
    <t xml:space="preserve"> O2 (21)</t>
  </si>
  <si>
    <r>
      <rPr>
        <sz val="7"/>
        <rFont val="Antique Olive (W1)"/>
        <family val="0"/>
      </rPr>
      <t>Hl</t>
    </r>
  </si>
  <si>
    <t>27 10.11.25.00.0.9 L</t>
  </si>
  <si>
    <t xml:space="preserve">          * destinées à d'autres usages (15 ) (30) (31)…………………………………………………………………</t>
  </si>
  <si>
    <t>Litre</t>
  </si>
  <si>
    <t xml:space="preserve"> C (18)</t>
  </si>
  <si>
    <t xml:space="preserve"> O2 (21)</t>
  </si>
  <si>
    <r>
      <rPr>
        <sz val="7"/>
        <rFont val="Antique Olive (W1)"/>
        <family val="0"/>
      </rPr>
      <t>Hl</t>
    </r>
  </si>
  <si>
    <t>Ex</t>
  </si>
  <si>
    <t xml:space="preserve">  - - - -  Autres :</t>
  </si>
  <si>
    <t xml:space="preserve"> - - - - -  Essences pour moteur :</t>
  </si>
  <si>
    <t>27 10.11.31.00.0.0H</t>
  </si>
  <si>
    <t xml:space="preserve">          * Essences d'aviation  (11)(26) (30) (32)……………………………………………………………………………</t>
  </si>
  <si>
    <t>Litre</t>
  </si>
  <si>
    <t xml:space="preserve"> . . .</t>
  </si>
  <si>
    <t xml:space="preserve"> O2 (21)</t>
  </si>
  <si>
    <r>
      <rPr>
        <sz val="7"/>
        <rFont val="Antique Olive (W1)"/>
        <family val="0"/>
      </rPr>
      <t>Hl</t>
    </r>
  </si>
  <si>
    <t xml:space="preserve">          * Autres, d'une teneur en plomb :</t>
  </si>
  <si>
    <t xml:space="preserve">               * *  n'excédant pas 0,013 g par l :</t>
  </si>
  <si>
    <t xml:space="preserve">                    * * * avec un indice d'octane (IOR) &lt; 95</t>
  </si>
  <si>
    <t>27 10.11.41.00.0.1 J</t>
  </si>
  <si>
    <t xml:space="preserve">                         * * * * d'une teneur en plomb n'excédant pas 0,005 g par l (26)(30) (32)…………</t>
  </si>
  <si>
    <t>1000 L</t>
  </si>
  <si>
    <t xml:space="preserve"> C (18)</t>
  </si>
  <si>
    <t xml:space="preserve"> O2 (21)</t>
  </si>
  <si>
    <r>
      <rPr>
        <sz val="7"/>
        <rFont val="Antique Olive (W1)"/>
        <family val="0"/>
      </rPr>
      <t>Hl</t>
    </r>
  </si>
  <si>
    <t>(a)</t>
  </si>
  <si>
    <t>27 10.11.41.00.0.9 D</t>
  </si>
  <si>
    <t xml:space="preserve">                         * * * * autres (6)(26)(30) (32)…………………………………………………………………..</t>
  </si>
  <si>
    <t>1000 L</t>
  </si>
  <si>
    <t xml:space="preserve"> C (18)</t>
  </si>
  <si>
    <t xml:space="preserve"> O2 (21)</t>
  </si>
  <si>
    <r>
      <rPr>
        <sz val="7"/>
        <rFont val="Antique Olive (W1)"/>
        <family val="0"/>
      </rPr>
      <t>Hl</t>
    </r>
  </si>
  <si>
    <t xml:space="preserve"> (a) En Corse, les taux de TIPP sont réduits pour les supercarburants sans plomb   à :</t>
  </si>
  <si>
    <t xml:space="preserve">E/HL  et pour les supercarburants contenant un additif ARS à  </t>
  </si>
  <si>
    <t xml:space="preserve">F/HL pour les supercarburants contenant un additif ARS </t>
  </si>
  <si>
    <r>
      <rPr>
        <sz val="7"/>
        <rFont val="Antique Olive (W1)"/>
        <family val="0"/>
      </rPr>
      <t>E/Hl</t>
    </r>
  </si>
  <si>
    <t xml:space="preserve">                    * * * avec un indice d'octane (IOR) de 95 ou plus mais &lt; 98</t>
  </si>
  <si>
    <t>27 10.11.45.00.0.1 H</t>
  </si>
  <si>
    <r>
      <rPr>
        <sz val="7"/>
        <rFont val="Antique Olive (W1)"/>
        <family val="0"/>
      </rPr>
      <t xml:space="preserve">                         * * * * d'un indice d'octane supérieur ou égal à 97,contenant un additif spécifique à base de potassium améliorant les caractéristiques anti-récession de soupape (ARS) et d'une teneur en plomb n'excédant pas 0,005 g par litre (26)(30)(32)</t>
    </r>
  </si>
  <si>
    <t>1000 L</t>
  </si>
  <si>
    <t xml:space="preserve"> C (18)</t>
  </si>
  <si>
    <t xml:space="preserve"> O2 (21)</t>
  </si>
  <si>
    <r>
      <rPr>
        <sz val="7"/>
        <rFont val="Antique Olive (W1)"/>
        <family val="0"/>
      </rPr>
      <t>Hl</t>
    </r>
  </si>
  <si>
    <t>(a)</t>
  </si>
  <si>
    <t>27 10.11.45.00.0.3 E</t>
  </si>
  <si>
    <r>
      <rPr>
        <sz val="7"/>
        <rFont val="Antique Olive (W1)"/>
        <family val="0"/>
      </rPr>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r>
  </si>
  <si>
    <t>1000 L</t>
  </si>
  <si>
    <t xml:space="preserve"> C (18)</t>
  </si>
  <si>
    <t xml:space="preserve"> O2 (21)</t>
  </si>
  <si>
    <r>
      <rPr>
        <sz val="7"/>
        <rFont val="Antique Olive (W1)"/>
        <family val="0"/>
      </rPr>
      <t>Hl</t>
    </r>
  </si>
  <si>
    <t>(a)</t>
  </si>
  <si>
    <t>27 10.11.45.00.0.5 V</t>
  </si>
  <si>
    <t xml:space="preserve">                         * * * * autre, d'une teneur en plomb n'excédant pas 0,005,g par l (26)(30)(32)</t>
  </si>
  <si>
    <t>1000 L</t>
  </si>
  <si>
    <t xml:space="preserve"> C (18)</t>
  </si>
  <si>
    <t xml:space="preserve"> O2 (21)</t>
  </si>
  <si>
    <r>
      <rPr>
        <sz val="7"/>
        <rFont val="Antique Olive (W1)"/>
        <family val="0"/>
      </rPr>
      <t>Hl</t>
    </r>
  </si>
  <si>
    <t>(a)</t>
  </si>
  <si>
    <t>27 10.11.45.00.0.9 T</t>
  </si>
  <si>
    <t xml:space="preserve">                         * * * * autre, autre (6)(26)(30)(32)</t>
  </si>
  <si>
    <t>1000 L</t>
  </si>
  <si>
    <t xml:space="preserve"> C (18)</t>
  </si>
  <si>
    <t xml:space="preserve"> O2 (21)</t>
  </si>
  <si>
    <r>
      <rPr>
        <sz val="7"/>
        <rFont val="Antique Olive (W1)"/>
        <family val="0"/>
      </rPr>
      <t>Hl</t>
    </r>
  </si>
  <si>
    <t xml:space="preserve">                    * * * avec un indice d'octane (IOR) de 98 ou plus </t>
  </si>
  <si>
    <t>27 10.11.49.00.0.1 N</t>
  </si>
  <si>
    <r>
      <rPr>
        <sz val="7"/>
        <rFont val="Antique Olive (W1)"/>
        <family val="0"/>
      </rPr>
      <t xml:space="preserve">                         * * * * contenant un additif à base de potassium améliorant les caractéristiques anti-récession de soupape (ARS) et d'une teneur en plomb n'excédant pas 0,005 g par litre (26)(30)(32)</t>
    </r>
  </si>
  <si>
    <t>1000 L</t>
  </si>
  <si>
    <t xml:space="preserve"> C (18)</t>
  </si>
  <si>
    <t xml:space="preserve"> O2 (21)</t>
  </si>
  <si>
    <r>
      <rPr>
        <sz val="7"/>
        <rFont val="Antique Olive (W1)"/>
        <family val="0"/>
      </rPr>
      <t>Hl</t>
    </r>
  </si>
  <si>
    <t>(a)</t>
  </si>
  <si>
    <t>27 10.11.49.00.0.3 D</t>
  </si>
  <si>
    <r>
      <rPr>
        <sz val="7"/>
        <rFont val="Antique Olive (W1)"/>
        <family val="0"/>
      </rPr>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r>
  </si>
  <si>
    <t>1000 L</t>
  </si>
  <si>
    <t xml:space="preserve"> C (18)</t>
  </si>
  <si>
    <t xml:space="preserve"> O2 (21)</t>
  </si>
  <si>
    <r>
      <rPr>
        <sz val="7"/>
        <rFont val="Antique Olive (W1)"/>
        <family val="0"/>
      </rPr>
      <t>Hl</t>
    </r>
  </si>
  <si>
    <t>(a)</t>
  </si>
  <si>
    <t>27 10.11.49.00.0.5 M</t>
  </si>
  <si>
    <t xml:space="preserve">                         * * * * autre, d'une teneur en plomb n'excédant pas 0,005,g par l (26)(30)(32)</t>
  </si>
  <si>
    <t>1000 L</t>
  </si>
  <si>
    <t xml:space="preserve"> C (18)</t>
  </si>
  <si>
    <t xml:space="preserve"> O2 (21)</t>
  </si>
  <si>
    <r>
      <rPr>
        <sz val="7"/>
        <rFont val="Antique Olive (W1)"/>
        <family val="0"/>
      </rPr>
      <t>Hl</t>
    </r>
  </si>
  <si>
    <t>(a)</t>
  </si>
  <si>
    <t>27 10.11.49.00.0.9 K</t>
  </si>
  <si>
    <t xml:space="preserve">                         * * * * autre, autre (6)(26)(30)(32)</t>
  </si>
  <si>
    <t>1000 L</t>
  </si>
  <si>
    <t xml:space="preserve"> C (18)</t>
  </si>
  <si>
    <t xml:space="preserve"> O2 (21)</t>
  </si>
  <si>
    <r>
      <rPr>
        <sz val="7"/>
        <rFont val="Antique Olive (W1)"/>
        <family val="0"/>
      </rPr>
      <t>Hl</t>
    </r>
  </si>
  <si>
    <r>
      <rPr>
        <sz val="7"/>
        <rFont val="Antique Olive (W1)"/>
        <family val="0"/>
      </rPr>
      <t xml:space="preserve">               * *  excedant 0,013 g par l :</t>
    </r>
  </si>
  <si>
    <t>27 10.11.51.00.0.0 S</t>
  </si>
  <si>
    <t xml:space="preserve">                    * * *  avec un indice d'octane (IOR) &lt; 98 (6)(26)(30)(32)…………………………………………….</t>
  </si>
  <si>
    <t>1000 L</t>
  </si>
  <si>
    <t xml:space="preserve"> C (18)</t>
  </si>
  <si>
    <t xml:space="preserve"> O2 (21)</t>
  </si>
  <si>
    <r>
      <rPr>
        <sz val="7"/>
        <rFont val="Antique Olive (W1)"/>
        <family val="0"/>
      </rPr>
      <t>Hl</t>
    </r>
  </si>
  <si>
    <t>27 10.11.59.00.0.0 X</t>
  </si>
  <si>
    <t xml:space="preserve">                    * * *  avec un indice d'octane (IOR) de 98 ou plus (6)(26)(30)(32)...............................................................…</t>
  </si>
  <si>
    <t>1000 L</t>
  </si>
  <si>
    <t xml:space="preserve"> C (18)</t>
  </si>
  <si>
    <t xml:space="preserve"> O2 (21)</t>
  </si>
  <si>
    <r>
      <rPr>
        <sz val="7"/>
        <rFont val="Antique Olive (W1)"/>
        <family val="0"/>
      </rPr>
      <t>Hl</t>
    </r>
  </si>
  <si>
    <t xml:space="preserve"> - - - - - Carburéacteurs, type essence  :</t>
  </si>
  <si>
    <t>27 10.11.70.00.0.1 A</t>
  </si>
  <si>
    <t xml:space="preserve">          * Destinés à être utilisés à bord des aéronefs ainsi que pour la construction, la</t>
  </si>
  <si>
    <t xml:space="preserve"> </t>
  </si>
  <si>
    <t xml:space="preserve">              mise au point , les essais ou l'entretien des moteurs d'aviation</t>
  </si>
  <si>
    <t xml:space="preserve">              à réaction ou à turbine (7) (11)(30)(32)...............................................................................................</t>
  </si>
  <si>
    <t>Litre</t>
  </si>
  <si>
    <t xml:space="preserve"> C (18)</t>
  </si>
  <si>
    <t xml:space="preserve"> O2 (21)</t>
  </si>
  <si>
    <r>
      <rPr>
        <sz val="7"/>
        <rFont val="Antique Olive (W1)"/>
        <family val="0"/>
      </rPr>
      <t>Hl</t>
    </r>
  </si>
  <si>
    <t>Ex</t>
  </si>
  <si>
    <t>27 10.11.70.00.0.2 P</t>
  </si>
  <si>
    <t xml:space="preserve">          * Sous conditions d'emploi (8)(30)(32)...........................................................................................................</t>
  </si>
  <si>
    <t>Litre</t>
  </si>
  <si>
    <t xml:space="preserve"> C (18)</t>
  </si>
  <si>
    <t xml:space="preserve"> O2 (21)</t>
  </si>
  <si>
    <r>
      <rPr>
        <sz val="7"/>
        <rFont val="Antique Olive (W1)"/>
        <family val="0"/>
      </rPr>
      <t>Hl</t>
    </r>
  </si>
  <si>
    <t>27 10.11.70.00.0.3 S</t>
  </si>
  <si>
    <t xml:space="preserve">          * destinés à un usage autre que carburant ou combustible (15)(30)(32)……………………</t>
  </si>
  <si>
    <t>Litre</t>
  </si>
  <si>
    <t xml:space="preserve"> C (18)</t>
  </si>
  <si>
    <t xml:space="preserve"> O2 (21)</t>
  </si>
  <si>
    <r>
      <rPr>
        <sz val="7"/>
        <rFont val="Antique Olive (W1)"/>
        <family val="0"/>
      </rPr>
      <t>Hl</t>
    </r>
  </si>
  <si>
    <t>Ex</t>
  </si>
  <si>
    <t>27 10.11.70.00.0.9 X</t>
  </si>
  <si>
    <t xml:space="preserve">          * Autres  (11)(26)(30)(32).............................................................................................................................................</t>
  </si>
  <si>
    <t>Litre</t>
  </si>
  <si>
    <t xml:space="preserve"> C (18)</t>
  </si>
  <si>
    <t xml:space="preserve"> O2 (21)</t>
  </si>
  <si>
    <r>
      <rPr>
        <sz val="7"/>
        <rFont val="Antique Olive (W1)"/>
        <family val="0"/>
      </rPr>
      <t>Hl</t>
    </r>
  </si>
  <si>
    <t xml:space="preserve"> (a) En Corse, les taux de TIPP sont réduits pour les supercarburants sans plomb   à :</t>
  </si>
  <si>
    <t xml:space="preserve">E/HL  et pour les supercarburants contenant un additif ARS à :   </t>
  </si>
  <si>
    <t xml:space="preserve">F/HL pour les supercarburants contenant un additif ARS </t>
  </si>
  <si>
    <r>
      <rPr>
        <sz val="7"/>
        <rFont val="Antique Olive (W1)"/>
        <family val="0"/>
      </rPr>
      <t>E/Hl</t>
    </r>
  </si>
  <si>
    <t xml:space="preserve"> </t>
  </si>
  <si>
    <t>F/HL  pour les essences,</t>
  </si>
  <si>
    <t xml:space="preserve"> - - - - - Autres huiles légères :</t>
  </si>
  <si>
    <t>27 10.11.90.00.0.1 D</t>
  </si>
  <si>
    <t xml:space="preserve">          * destinées à être utilisées comme carburant ou combustible  (13)(26)(30)(32).............................</t>
  </si>
  <si>
    <t>Litre</t>
  </si>
  <si>
    <t xml:space="preserve"> C (18)</t>
  </si>
  <si>
    <t xml:space="preserve"> O2 (21)</t>
  </si>
  <si>
    <r>
      <rPr>
        <sz val="7"/>
        <rFont val="Antique Olive (W1)"/>
        <family val="0"/>
      </rPr>
      <t>Hl</t>
    </r>
  </si>
  <si>
    <t>27 10.11.90.00.0.9 A</t>
  </si>
  <si>
    <t xml:space="preserve">          *  Autres (15)(30)(32)...........................................................................................................................................</t>
  </si>
  <si>
    <t>Litre</t>
  </si>
  <si>
    <t xml:space="preserve"> C (18)</t>
  </si>
  <si>
    <t xml:space="preserve"> O2 (21)</t>
  </si>
  <si>
    <r>
      <rPr>
        <sz val="7"/>
        <rFont val="Antique Olive (W1)"/>
        <family val="0"/>
      </rPr>
      <t>Hl</t>
    </r>
  </si>
  <si>
    <t>Ex</t>
  </si>
  <si>
    <t>- - Autres</t>
  </si>
  <si>
    <t>27 10.19.11.00.0.0 Q</t>
  </si>
  <si>
    <t>Litre</t>
  </si>
  <si>
    <t>Ex</t>
  </si>
  <si>
    <t xml:space="preserve"> C (18)</t>
  </si>
  <si>
    <t xml:space="preserve"> . . .</t>
  </si>
  <si>
    <r>
      <rPr>
        <sz val="7"/>
        <rFont val="Antique Olive (W1)"/>
        <family val="0"/>
      </rPr>
      <t>Hl</t>
    </r>
  </si>
  <si>
    <t>Ex</t>
  </si>
  <si>
    <t>27 10.19.15.00.0.0 A</t>
  </si>
  <si>
    <t xml:space="preserve">      que ceux définis pour la sous-position 27 10 19 11 (3)(30) (32).....................................................................................…</t>
  </si>
  <si>
    <t>Litre</t>
  </si>
  <si>
    <t>Ex</t>
  </si>
  <si>
    <t xml:space="preserve"> C (18)</t>
  </si>
  <si>
    <t xml:space="preserve"> . . .</t>
  </si>
  <si>
    <r>
      <rPr>
        <sz val="7"/>
        <rFont val="Antique Olive (W1)"/>
        <family val="0"/>
      </rPr>
      <t>Hl</t>
    </r>
  </si>
  <si>
    <t>Ex</t>
  </si>
  <si>
    <t xml:space="preserve"> - - - - destinées à d'autres usages :</t>
  </si>
  <si>
    <t xml:space="preserve"> - - - - -  Pétrole lampant :</t>
  </si>
  <si>
    <t xml:space="preserve">          * Carburéacteurs , type pétrole lampant :</t>
  </si>
  <si>
    <t>27 10.19.21.00.0.1 M</t>
  </si>
  <si>
    <t xml:space="preserve">               * * Destinés à être utilisés à bord des aéronefs ainsi que pour la construction, la</t>
  </si>
  <si>
    <t xml:space="preserve">           mise au point , les essais ou l'entretien des moteurs d'aviation à réaction</t>
  </si>
  <si>
    <t xml:space="preserve">            ou à turbine (7) (11) (30)(32).............................................................................................</t>
  </si>
  <si>
    <t>Litre</t>
  </si>
  <si>
    <t xml:space="preserve"> C (18)</t>
  </si>
  <si>
    <t xml:space="preserve"> O2 (21)</t>
  </si>
  <si>
    <r>
      <rPr>
        <sz val="7"/>
        <rFont val="Antique Olive (W1)"/>
        <family val="0"/>
      </rPr>
      <t>Hl</t>
    </r>
  </si>
  <si>
    <t>Ex</t>
  </si>
  <si>
    <t>27 10.19.21.00.0.2 T</t>
  </si>
  <si>
    <t xml:space="preserve">               * * Sous conditions d'emploi  (8)(30)(32)......................................................................................................</t>
  </si>
  <si>
    <t>Litre</t>
  </si>
  <si>
    <t xml:space="preserve"> C (18)</t>
  </si>
  <si>
    <t xml:space="preserve"> O2 (21)</t>
  </si>
  <si>
    <r>
      <rPr>
        <sz val="7"/>
        <rFont val="Antique Olive (W1)"/>
        <family val="0"/>
      </rPr>
      <t>Hl</t>
    </r>
  </si>
  <si>
    <t>27 10.19.21.00.0.3 F</t>
  </si>
  <si>
    <t xml:space="preserve">               * * destinés à un usage autre que carburant ou combustible (15)(30)(32)…………………………………………………………</t>
  </si>
  <si>
    <t>Litre</t>
  </si>
  <si>
    <t xml:space="preserve"> C (18)</t>
  </si>
  <si>
    <t xml:space="preserve"> O2 (21)</t>
  </si>
  <si>
    <r>
      <rPr>
        <sz val="7"/>
        <rFont val="Antique Olive (W1)"/>
        <family val="0"/>
      </rPr>
      <t>Hl</t>
    </r>
  </si>
  <si>
    <t>Ex</t>
  </si>
  <si>
    <t>27 10.19.21.00.0.9 S</t>
  </si>
  <si>
    <t xml:space="preserve">               * * Autres  (11)(26)(30)(32).........................................................................................................................................…</t>
  </si>
  <si>
    <t>Litre</t>
  </si>
  <si>
    <t xml:space="preserve"> C (18)</t>
  </si>
  <si>
    <t xml:space="preserve"> O2 (21)</t>
  </si>
  <si>
    <r>
      <rPr>
        <sz val="7"/>
        <rFont val="Antique Olive (W1)"/>
        <family val="0"/>
      </rPr>
      <t>Hl</t>
    </r>
  </si>
  <si>
    <t xml:space="preserve">          * Autre pétrole lampant  :</t>
  </si>
  <si>
    <t xml:space="preserve">               * * Destiné à être utilisé comme combustible</t>
  </si>
  <si>
    <t>27 10.19.25.00.0.1 Q</t>
  </si>
  <si>
    <t xml:space="preserve">                    * * * Combustible liquide pour appareil mobile de chauffage (17) (22)(30)(32)…………..............</t>
  </si>
  <si>
    <t>Litre</t>
  </si>
  <si>
    <t xml:space="preserve"> O2 (21)</t>
  </si>
  <si>
    <r>
      <rPr>
        <sz val="7"/>
        <rFont val="Antique Olive (W1)"/>
        <family val="0"/>
      </rPr>
      <t>Hl</t>
    </r>
  </si>
  <si>
    <t>27 10.19.25.00.0.2 K</t>
  </si>
  <si>
    <t xml:space="preserve">                    * * * Autre (17(26))(30)(32).........................................................................................................................</t>
  </si>
  <si>
    <t>Litre</t>
  </si>
  <si>
    <t xml:space="preserve"> O2 (21)</t>
  </si>
  <si>
    <r>
      <rPr>
        <sz val="7"/>
        <rFont val="Antique Olive (W1)"/>
        <family val="0"/>
      </rPr>
      <t>Hl</t>
    </r>
  </si>
  <si>
    <t>27 10.19.25.00.0.3 Z</t>
  </si>
  <si>
    <t xml:space="preserve">               * * Destiné à être utilisé comme carburant  (11)(30)(32).............................................................................</t>
  </si>
  <si>
    <t>Litre</t>
  </si>
  <si>
    <t xml:space="preserve"> O2 (21)</t>
  </si>
  <si>
    <r>
      <rPr>
        <sz val="7"/>
        <rFont val="Antique Olive (W1)"/>
        <family val="0"/>
      </rPr>
      <t>Hl</t>
    </r>
  </si>
  <si>
    <t>27 10.19.25.00.0.9 R</t>
  </si>
  <si>
    <t xml:space="preserve">           * Autres  (15)(30)(32).......................................................................................................................................</t>
  </si>
  <si>
    <t>Litre</t>
  </si>
  <si>
    <t xml:space="preserve"> O2 (21)</t>
  </si>
  <si>
    <r>
      <rPr>
        <sz val="7"/>
        <rFont val="Antique Olive (W1)"/>
        <family val="0"/>
      </rPr>
      <t>Hl</t>
    </r>
  </si>
  <si>
    <t>Ex</t>
  </si>
  <si>
    <t xml:space="preserve"> - - - - -  Autres huiles moyennes  :</t>
  </si>
  <si>
    <t>27 10.19.29.00.0.1 A</t>
  </si>
  <si>
    <t xml:space="preserve">          * Destinées à être utilisées comme carburant ou combustible  (13)(26)(30)(31).............................…</t>
  </si>
  <si>
    <t>Litre</t>
  </si>
  <si>
    <t xml:space="preserve"> O2 (21)</t>
  </si>
  <si>
    <r>
      <rPr>
        <sz val="7"/>
        <rFont val="Antique Olive (W1)"/>
        <family val="0"/>
      </rPr>
      <t>Hl</t>
    </r>
  </si>
  <si>
    <t>27 10.19.29.00.0.9 X</t>
  </si>
  <si>
    <r>
      <rPr>
        <sz val="7"/>
        <rFont val="Antique Olive (W1)"/>
        <family val="0"/>
      </rPr>
      <t xml:space="preserve">          * Autres   (15)(30)(31)   ......................................................................................................        </t>
    </r>
  </si>
  <si>
    <t>Litre</t>
  </si>
  <si>
    <t xml:space="preserve"> O2 (21)</t>
  </si>
  <si>
    <r>
      <rPr>
        <sz val="7"/>
        <rFont val="Antique Olive (W1)"/>
        <family val="0"/>
      </rPr>
      <t>Hl</t>
    </r>
  </si>
  <si>
    <t>Ex</t>
  </si>
  <si>
    <t xml:space="preserve"> </t>
  </si>
  <si>
    <t>F/HL  pour les essences,</t>
  </si>
  <si>
    <t xml:space="preserve"> - - -  Huiles lourdes :</t>
  </si>
  <si>
    <t xml:space="preserve"> - - - - gazole :</t>
  </si>
  <si>
    <t>27 10.19.31.00.0.0 E</t>
  </si>
  <si>
    <t xml:space="preserve"> - - - - - destiné à subir un traitement défini (3)(30)(32).........................................................................................…</t>
  </si>
  <si>
    <t>Litre</t>
  </si>
  <si>
    <t>Ex</t>
  </si>
  <si>
    <t xml:space="preserve"> C (18)</t>
  </si>
  <si>
    <t xml:space="preserve"> . . .</t>
  </si>
  <si>
    <r>
      <rPr>
        <sz val="7"/>
        <rFont val="Antique Olive (W1)"/>
        <family val="0"/>
      </rPr>
      <t>Hl</t>
    </r>
  </si>
  <si>
    <t>Ex</t>
  </si>
  <si>
    <t>27 10.19.35.00.0.0 D</t>
  </si>
  <si>
    <t xml:space="preserve"> - - - - - destiné à subir une transformation chimique par un traitement autre que</t>
  </si>
  <si>
    <t xml:space="preserve">          ceux définis pour la sous position 27 10 19 31 (3)(30)(32)..................................................................</t>
  </si>
  <si>
    <t>Litre</t>
  </si>
  <si>
    <t>Ex</t>
  </si>
  <si>
    <t xml:space="preserve"> C (18)</t>
  </si>
  <si>
    <t xml:space="preserve"> . . .</t>
  </si>
  <si>
    <r>
      <rPr>
        <sz val="7"/>
        <rFont val="Antique Olive (W1)"/>
        <family val="0"/>
      </rPr>
      <t>Hl</t>
    </r>
  </si>
  <si>
    <t>Ex</t>
  </si>
  <si>
    <t xml:space="preserve"> - - - - - destiné à d'autres usages :</t>
  </si>
  <si>
    <t xml:space="preserve">           * D'une teneur en poids de soufre n'excédant pas 0,05% :</t>
  </si>
  <si>
    <t>27 10.19.41.00.0.1 C</t>
  </si>
  <si>
    <r>
      <rPr>
        <sz val="7"/>
        <rFont val="Antique Olive (W1)"/>
        <family val="3"/>
      </rPr>
      <t xml:space="preserve">               * * Fioul domestique (11) (14) (26)(30) (32)................................................................…</t>
    </r>
  </si>
  <si>
    <t>Litre</t>
  </si>
  <si>
    <t>Ex</t>
  </si>
  <si>
    <t xml:space="preserve"> C (18)</t>
  </si>
  <si>
    <t xml:space="preserve"> . . .</t>
  </si>
  <si>
    <r>
      <rPr>
        <sz val="7"/>
        <rFont val="Antique Olive (W1)"/>
        <family val="0"/>
      </rPr>
      <t>Hl</t>
    </r>
  </si>
  <si>
    <t>Ex</t>
  </si>
  <si>
    <t>27 10.19.41.00.0.2 H</t>
  </si>
  <si>
    <t xml:space="preserve">               * * Gazole destiné à un usage autre que carburant ou combustible, d'une teneur </t>
  </si>
  <si>
    <t xml:space="preserve">                     en poids de soufre n'excédant pas 0,035% (15)(30)(32)………………………………..……………….</t>
  </si>
  <si>
    <t>Litre</t>
  </si>
  <si>
    <t>Ex</t>
  </si>
  <si>
    <t xml:space="preserve"> C (18)</t>
  </si>
  <si>
    <t xml:space="preserve"> O2 (21)</t>
  </si>
  <si>
    <r>
      <rPr>
        <sz val="7"/>
        <rFont val="Antique Olive (W1)"/>
        <family val="0"/>
      </rPr>
      <t>Hl</t>
    </r>
  </si>
  <si>
    <t>Ex</t>
  </si>
  <si>
    <t>Ex</t>
  </si>
  <si>
    <t>27 10.19.41.00.0.3 W</t>
  </si>
  <si>
    <t xml:space="preserve">               * * Gazole destiné à un usage autre que carburant ou combustible,autre(15)(30)(32)</t>
  </si>
  <si>
    <t>Litre</t>
  </si>
  <si>
    <t>Ex</t>
  </si>
  <si>
    <t xml:space="preserve"> C (18)</t>
  </si>
  <si>
    <t xml:space="preserve"> O2 (21)</t>
  </si>
  <si>
    <r>
      <rPr>
        <sz val="7"/>
        <rFont val="Antique Olive (W1)"/>
        <family val="0"/>
      </rPr>
      <t>Hl</t>
    </r>
  </si>
  <si>
    <t>Ex</t>
  </si>
  <si>
    <t>Ex</t>
  </si>
  <si>
    <t>27 10.19.41.00.0.4 E</t>
  </si>
  <si>
    <t xml:space="preserve">               * * Autre, d'une teneur en poids de soufre n'excédant pas 0,035% (11)(26)(30)(32)………………………………………………………………………………………………………</t>
  </si>
  <si>
    <t>Litre</t>
  </si>
  <si>
    <t>Ex</t>
  </si>
  <si>
    <t xml:space="preserve"> C (18)</t>
  </si>
  <si>
    <t xml:space="preserve"> O2 (21)</t>
  </si>
  <si>
    <r>
      <rPr>
        <sz val="7"/>
        <rFont val="Antique Olive (W1)"/>
        <family val="0"/>
      </rPr>
      <t>Hl</t>
    </r>
  </si>
  <si>
    <t>Ex</t>
  </si>
  <si>
    <t xml:space="preserve">27 10.19.41.00.0.9 M </t>
  </si>
  <si>
    <t xml:space="preserve">               * * Autre, autres (11)(26)(30)(32)..................………………………………………………………</t>
  </si>
  <si>
    <t>Litre</t>
  </si>
  <si>
    <t>Ex</t>
  </si>
  <si>
    <t xml:space="preserve"> C (18)</t>
  </si>
  <si>
    <t xml:space="preserve"> O2 (21)</t>
  </si>
  <si>
    <r>
      <rPr>
        <sz val="7"/>
        <rFont val="Antique Olive (W1)"/>
        <family val="0"/>
      </rPr>
      <t>Hl</t>
    </r>
  </si>
  <si>
    <t>Ex</t>
  </si>
  <si>
    <t xml:space="preserve">          * D'une teneur en poids de soufre &gt; à  0,05% mais &lt; ou = à 0,2% :</t>
  </si>
  <si>
    <t>27 10.19.45.00.0.1 E</t>
  </si>
  <si>
    <r>
      <rPr>
        <sz val="7"/>
        <rFont val="Antique Olive (W1)"/>
        <family val="0"/>
      </rPr>
      <t xml:space="preserve">               * * Fioul domestique (11) (14)(26) (30) (32)......................................................…</t>
    </r>
  </si>
  <si>
    <t>Litre</t>
  </si>
  <si>
    <t>Ex</t>
  </si>
  <si>
    <t xml:space="preserve"> C (18)</t>
  </si>
  <si>
    <t xml:space="preserve"> . . .</t>
  </si>
  <si>
    <r>
      <rPr>
        <sz val="7"/>
        <rFont val="Antique Olive (W1)"/>
        <family val="0"/>
      </rPr>
      <t>Hl</t>
    </r>
  </si>
  <si>
    <t>Ex</t>
  </si>
  <si>
    <t>27 10.19.45.00.0.2 N</t>
  </si>
  <si>
    <t xml:space="preserve">               * * Gazole destiné à un usage autre que carburant ou combustible  (15)(30)(32)……………..</t>
  </si>
  <si>
    <t>Litre</t>
  </si>
  <si>
    <t>Ex</t>
  </si>
  <si>
    <t xml:space="preserve"> C (18)</t>
  </si>
  <si>
    <t xml:space="preserve"> O2 (21)</t>
  </si>
  <si>
    <r>
      <rPr>
        <sz val="7"/>
        <rFont val="Antique Olive (W1)"/>
        <family val="0"/>
      </rPr>
      <t>Hl</t>
    </r>
  </si>
  <si>
    <t>Ex</t>
  </si>
  <si>
    <t>Ex</t>
  </si>
  <si>
    <t>27 10.19.45.00.0.9 Q</t>
  </si>
  <si>
    <t xml:space="preserve">               * * Autre (5)(11) (21)(26)(30)(32)............................................................................................................................</t>
  </si>
  <si>
    <t>Litre</t>
  </si>
  <si>
    <t>Ex</t>
  </si>
  <si>
    <t xml:space="preserve"> C (18)</t>
  </si>
  <si>
    <t xml:space="preserve"> O2 (21)</t>
  </si>
  <si>
    <r>
      <rPr>
        <sz val="7"/>
        <rFont val="Antique Olive (W1)"/>
        <family val="0"/>
      </rPr>
      <t>Hl</t>
    </r>
  </si>
  <si>
    <t>Ex</t>
  </si>
  <si>
    <t xml:space="preserve">           * D'une teneur en poids de soufre excédant 0,2% :</t>
  </si>
  <si>
    <t>27 10.19.49.00.0.1 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</si>
</sst>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 numFmtId="175" formatCode="d\ mmm\ yy"/>
    <numFmt numFmtId="176" formatCode="#,##0.00&quot; F&quot;;\-#,##0.00&quot; F&quot;"/>
    <numFmt numFmtId="177" formatCode="#,##0&quot; F&quot;;[Red]\-#,##0&quot; F&quot;"/>
  </numFmts>
  <fonts count="25">
    <font>
      <sz val="10"/>
      <name val="Arial"/>
      <family val="0"/>
    </font>
    <font>
      <sz val="7"/>
      <name val="Arial"/>
      <family val="2"/>
    </font>
    <font>
      <sz val="7"/>
      <name val="Antique Olive (W1)"/>
      <family val="2"/>
    </font>
    <font>
      <sz val="10"/>
      <name val="Antique Olive (W1)"/>
      <family val="2"/>
    </font>
    <font>
      <b/>
      <sz val="10"/>
      <name val="Antique Olive (W1)"/>
      <family val="2"/>
    </font>
    <font>
      <b/>
      <sz val="7"/>
      <name val="Antique Olive (W1)"/>
      <family val="0"/>
    </font>
    <font>
      <sz val="8"/>
      <name val="Antique Olive (W1)"/>
      <family val="0"/>
    </font>
    <font>
      <sz val="8"/>
      <name val="Arial"/>
      <family val="0"/>
    </font>
    <font>
      <i/>
      <sz val="7"/>
      <name val="Antique Olive (W1)"/>
      <family val="0"/>
    </font>
    <font>
      <b/>
      <sz val="7"/>
      <name val="Arial"/>
      <family val="0"/>
    </font>
    <font>
      <sz val="6"/>
      <name val="Antique Olive (W1)"/>
      <family val="0"/>
    </font>
    <font>
      <b/>
      <i/>
      <sz val="7"/>
      <name val="Antique Olive (W1)"/>
      <family val="0"/>
    </font>
    <font>
      <sz val="7"/>
      <name val="Antique Olv (WT)"/>
      <family val="0"/>
    </font>
    <font>
      <sz val="7"/>
      <name val="Univers (WN)"/>
      <family val="0"/>
    </font>
    <font>
      <b/>
      <i/>
      <sz val="10"/>
      <name val="Antique Olive (W1)"/>
      <family val="0"/>
    </font>
    <font>
      <b/>
      <i/>
      <sz val="7"/>
      <name val="Arial"/>
      <family val="0"/>
    </font>
    <font>
      <strike/>
      <sz val="10"/>
      <name val="Antique Olive (W1)"/>
      <family val="0"/>
    </font>
    <font>
      <sz val="7"/>
      <name val="Univers  (WN)"/>
      <family val="0"/>
    </font>
    <font>
      <sz val="7"/>
      <name val="Univers (WR)"/>
      <family val="0"/>
    </font>
    <font>
      <strike/>
      <sz val="7"/>
      <name val="Arial"/>
      <family val="0"/>
    </font>
    <font>
      <strike/>
      <sz val="7"/>
      <name val="Antique Olive (W1)"/>
      <family val="0"/>
    </font>
    <font>
      <strike/>
      <sz val="10"/>
      <name val="Arial"/>
      <family val="0"/>
    </font>
    <font>
      <sz val="8"/>
      <name val="Helv"/>
      <family val="0"/>
    </font>
    <font>
      <sz val="7"/>
      <name val="Times New Roman"/>
      <family val="0"/>
    </font>
    <font>
      <sz val="12"/>
      <name val="Times New Roman"/>
      <family val="0"/>
    </font>
  </fonts>
  <fills count="13">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s>
  <borders count="37">
    <border>
      <left/>
      <right/>
      <top/>
      <bottom/>
      <diagonal/>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8">
    <xf numFmtId="0" fontId="0" fillId="0" borderId="0" xfId="0" applyAlignment="1">
      <alignment/>
    </xf>
    <xf numFmtId="0" fontId="0" fillId="0" borderId="0" xfId="0" applyFont="1" applyAlignment="1">
      <alignment/>
    </xf>
    <xf numFmtId="10" fontId="0" fillId="0" borderId="0" xfId="0" applyNumberFormat="1" applyFont="1" applyAlignment="1">
      <alignment horizontal="right"/>
    </xf>
    <xf numFmtId="0" fontId="0" fillId="2" borderId="0" xfId="0" applyFont="1" applyFill="1" applyAlignment="1">
      <alignment/>
    </xf>
    <xf numFmtId="0" fontId="0" fillId="3"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4" borderId="0" xfId="0" applyFont="1" applyFill="1" applyBorder="1" applyAlignment="1">
      <alignment/>
    </xf>
    <xf numFmtId="0" fontId="0" fillId="5" borderId="0" xfId="0" applyFont="1" applyFill="1" applyBorder="1" applyAlignment="1">
      <alignment/>
    </xf>
    <xf numFmtId="1" fontId="1" fillId="6" borderId="0" xfId="0" applyNumberFormat="1" applyFont="1" applyFill="1" applyBorder="1" applyAlignment="1">
      <alignment/>
    </xf>
    <xf numFmtId="1" fontId="1" fillId="7" borderId="0" xfId="0" applyNumberFormat="1" applyFont="1" applyFill="1" applyBorder="1" applyAlignment="1">
      <alignment/>
    </xf>
    <xf numFmtId="1" fontId="1" fillId="8" borderId="0" xfId="0" applyNumberFormat="1" applyFont="1" applyFill="1" applyBorder="1" applyAlignment="1">
      <alignment/>
    </xf>
    <xf numFmtId="1" fontId="1" fillId="0" borderId="0" xfId="0" applyNumberFormat="1" applyFont="1" applyFill="1" applyBorder="1" applyAlignment="1">
      <alignment/>
    </xf>
    <xf numFmtId="0" fontId="2" fillId="0" borderId="1"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3" xfId="0" applyFont="1" applyFill="1" applyBorder="1" applyAlignment="1" applyProtection="1">
      <alignment/>
      <protection/>
    </xf>
    <xf numFmtId="0" fontId="2" fillId="0" borderId="3" xfId="0" applyFont="1" applyBorder="1" applyAlignment="1" applyProtection="1">
      <alignment/>
      <protection/>
    </xf>
    <xf numFmtId="172" fontId="2" fillId="2" borderId="2" xfId="0" applyNumberFormat="1" applyFont="1" applyFill="1" applyBorder="1" applyAlignment="1" applyProtection="1">
      <alignment/>
      <protection/>
    </xf>
    <xf numFmtId="0" fontId="2" fillId="2" borderId="2" xfId="0" applyFont="1" applyFill="1" applyBorder="1" applyAlignment="1" applyProtection="1">
      <alignment/>
      <protection/>
    </xf>
    <xf numFmtId="0" fontId="2" fillId="0" borderId="3" xfId="0" applyFont="1" applyFill="1" applyBorder="1" applyAlignment="1">
      <alignment horizontal="center"/>
    </xf>
    <xf numFmtId="0" fontId="2" fillId="0" borderId="3" xfId="0" applyFont="1" applyFill="1" applyBorder="1" applyAlignment="1" applyProtection="1">
      <alignment horizontal="center" vertical="top" wrapText="1"/>
      <protection/>
    </xf>
    <xf numFmtId="172" fontId="2" fillId="3" borderId="2" xfId="0" applyNumberFormat="1" applyFont="1" applyFill="1" applyBorder="1" applyAlignment="1" applyProtection="1">
      <alignment horizontal="center"/>
      <protection/>
    </xf>
    <xf numFmtId="172" fontId="2" fillId="3" borderId="2" xfId="0" applyNumberFormat="1" applyFont="1" applyFill="1" applyBorder="1" applyAlignment="1" applyProtection="1">
      <alignment horizontal="right"/>
      <protection/>
    </xf>
    <xf numFmtId="0" fontId="2" fillId="0" borderId="0" xfId="0" applyFont="1" applyFill="1" applyBorder="1" applyAlignment="1" applyProtection="1">
      <alignment/>
      <protection/>
    </xf>
    <xf numFmtId="1" fontId="1" fillId="4" borderId="0" xfId="0" applyNumberFormat="1" applyFont="1" applyFill="1" applyBorder="1" applyAlignment="1" applyProtection="1">
      <alignment/>
      <protection/>
    </xf>
    <xf numFmtId="1" fontId="1" fillId="5" borderId="0" xfId="0" applyNumberFormat="1" applyFont="1" applyFill="1" applyBorder="1" applyAlignment="1" applyProtection="1">
      <alignment/>
      <protection/>
    </xf>
    <xf numFmtId="1" fontId="1" fillId="6" borderId="0" xfId="0" applyNumberFormat="1" applyFont="1" applyFill="1" applyBorder="1" applyAlignment="1" applyProtection="1">
      <alignment/>
      <protection/>
    </xf>
    <xf numFmtId="1" fontId="1" fillId="7" borderId="0" xfId="0" applyNumberFormat="1" applyFont="1" applyFill="1" applyBorder="1" applyAlignment="1" applyProtection="1">
      <alignment/>
      <protection/>
    </xf>
    <xf numFmtId="1" fontId="1" fillId="8"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172" fontId="3" fillId="0" borderId="0" xfId="0" applyNumberFormat="1" applyFont="1" applyFill="1" applyBorder="1" applyAlignment="1" applyProtection="1">
      <alignment/>
      <protection/>
    </xf>
    <xf numFmtId="0" fontId="0" fillId="0" borderId="0" xfId="0" applyFont="1" applyFill="1" applyBorder="1" applyAlignment="1">
      <alignment/>
    </xf>
    <xf numFmtId="0" fontId="5" fillId="0" borderId="4" xfId="0" applyFont="1" applyFill="1" applyBorder="1" applyAlignment="1" applyProtection="1">
      <alignment/>
      <protection/>
    </xf>
    <xf numFmtId="173" fontId="2" fillId="0" borderId="4" xfId="0" applyNumberFormat="1" applyFont="1" applyFill="1" applyBorder="1" applyAlignment="1" applyProtection="1">
      <alignment/>
      <protection locked="0"/>
    </xf>
    <xf numFmtId="0" fontId="2" fillId="0" borderId="4" xfId="0" applyFont="1" applyFill="1" applyBorder="1" applyAlignment="1" applyProtection="1">
      <alignment/>
      <protection/>
    </xf>
    <xf numFmtId="0" fontId="3" fillId="8" borderId="0" xfId="0" applyFont="1" applyFill="1" applyBorder="1" applyAlignment="1" applyProtection="1">
      <alignment/>
      <protection/>
    </xf>
    <xf numFmtId="0" fontId="4" fillId="0" borderId="5" xfId="0" applyFont="1" applyFill="1" applyBorder="1" applyAlignment="1" applyProtection="1">
      <alignment horizontal="center"/>
      <protection/>
    </xf>
    <xf numFmtId="0" fontId="4" fillId="0" borderId="6" xfId="0" applyFont="1" applyFill="1" applyBorder="1" applyAlignment="1" applyProtection="1">
      <alignment/>
      <protection/>
    </xf>
    <xf numFmtId="0" fontId="3" fillId="0" borderId="0" xfId="0" applyFont="1" applyFill="1" applyBorder="1" applyAlignment="1">
      <alignment/>
    </xf>
    <xf numFmtId="0" fontId="2" fillId="0" borderId="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8" xfId="0" applyFont="1" applyBorder="1" applyAlignment="1" applyProtection="1">
      <alignment horizontal="center"/>
      <protection/>
    </xf>
    <xf numFmtId="10" fontId="2" fillId="0" borderId="9" xfId="0" applyNumberFormat="1" applyFont="1" applyFill="1" applyBorder="1" applyAlignment="1" applyProtection="1">
      <alignment horizontal="center"/>
      <protection/>
    </xf>
    <xf numFmtId="0" fontId="0" fillId="0" borderId="0" xfId="0" applyFont="1" applyAlignment="1">
      <alignment horizontal="center"/>
    </xf>
    <xf numFmtId="172" fontId="2" fillId="2" borderId="0" xfId="0" applyNumberFormat="1" applyFont="1" applyFill="1" applyBorder="1" applyAlignment="1" applyProtection="1">
      <alignment/>
      <protection/>
    </xf>
    <xf numFmtId="0" fontId="2" fillId="0" borderId="8" xfId="0" applyFont="1" applyFill="1" applyBorder="1" applyAlignment="1" applyProtection="1">
      <alignment horizontal="center" vertical="top" wrapText="1"/>
      <protection/>
    </xf>
    <xf numFmtId="172" fontId="2" fillId="3" borderId="0" xfId="0" applyNumberFormat="1" applyFont="1" applyFill="1" applyBorder="1" applyAlignment="1" applyProtection="1">
      <alignment horizontal="center"/>
      <protection/>
    </xf>
    <xf numFmtId="172" fontId="2" fillId="3" borderId="0" xfId="0" applyNumberFormat="1" applyFont="1" applyFill="1" applyBorder="1" applyAlignment="1" applyProtection="1">
      <alignment horizontal="right"/>
      <protection/>
    </xf>
    <xf numFmtId="0" fontId="2" fillId="0" borderId="1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1" fontId="1" fillId="4" borderId="0" xfId="0" applyNumberFormat="1" applyFont="1" applyFill="1" applyBorder="1" applyAlignment="1" applyProtection="1">
      <alignment horizontal="center"/>
      <protection/>
    </xf>
    <xf numFmtId="1" fontId="1" fillId="5" borderId="0" xfId="0" applyNumberFormat="1" applyFont="1" applyFill="1" applyBorder="1" applyAlignment="1" applyProtection="1">
      <alignment horizontal="center"/>
      <protection/>
    </xf>
    <xf numFmtId="1" fontId="1" fillId="6" borderId="0" xfId="0" applyNumberFormat="1" applyFont="1" applyFill="1" applyBorder="1" applyAlignment="1" applyProtection="1">
      <alignment horizontal="center"/>
      <protection/>
    </xf>
    <xf numFmtId="1" fontId="1" fillId="7" borderId="0" xfId="0" applyNumberFormat="1" applyFont="1" applyFill="1" applyBorder="1" applyAlignment="1" applyProtection="1">
      <alignment horizontal="center"/>
      <protection/>
    </xf>
    <xf numFmtId="1" fontId="1" fillId="8" borderId="0" xfId="0" applyNumberFormat="1" applyFont="1" applyFill="1" applyBorder="1" applyAlignment="1" applyProtection="1">
      <alignment horizontal="center"/>
      <protection/>
    </xf>
    <xf numFmtId="174" fontId="2" fillId="0" borderId="4" xfId="0" applyNumberFormat="1" applyFont="1" applyFill="1" applyBorder="1" applyAlignment="1" applyProtection="1">
      <alignment horizontal="center"/>
      <protection locked="0"/>
    </xf>
    <xf numFmtId="2" fontId="2" fillId="0" borderId="4" xfId="0" applyNumberFormat="1" applyFont="1" applyFill="1" applyBorder="1" applyAlignment="1" applyProtection="1">
      <alignment/>
      <protection locked="0"/>
    </xf>
    <xf numFmtId="172" fontId="2" fillId="0" borderId="4" xfId="0" applyNumberFormat="1" applyFont="1" applyFill="1" applyBorder="1" applyAlignment="1" applyProtection="1">
      <alignment/>
      <protection/>
    </xf>
    <xf numFmtId="2" fontId="2" fillId="0" borderId="0" xfId="0" applyNumberFormat="1" applyFont="1" applyFill="1" applyBorder="1" applyAlignment="1" applyProtection="1">
      <alignment/>
      <protection locked="0"/>
    </xf>
    <xf numFmtId="0" fontId="2" fillId="8" borderId="0" xfId="0" applyFont="1" applyFill="1" applyBorder="1" applyAlignment="1" applyProtection="1">
      <alignment/>
      <protection/>
    </xf>
    <xf numFmtId="0" fontId="2" fillId="8" borderId="12" xfId="0" applyFont="1" applyFill="1" applyBorder="1" applyAlignment="1" applyProtection="1">
      <alignment/>
      <protection/>
    </xf>
    <xf numFmtId="2" fontId="2" fillId="8" borderId="13" xfId="0" applyNumberFormat="1" applyFont="1" applyFill="1" applyBorder="1" applyAlignment="1" applyProtection="1">
      <alignment horizontal="right"/>
      <protection/>
    </xf>
    <xf numFmtId="0" fontId="2" fillId="0" borderId="12" xfId="0" applyFont="1" applyFill="1" applyBorder="1" applyAlignment="1" applyProtection="1">
      <alignment horizontal="left"/>
      <protection/>
    </xf>
    <xf numFmtId="2" fontId="2" fillId="0" borderId="13" xfId="0" applyNumberFormat="1" applyFont="1" applyFill="1" applyBorder="1" applyAlignment="1" applyProtection="1">
      <alignment horizontal="right"/>
      <protection locked="0"/>
    </xf>
    <xf numFmtId="0" fontId="2" fillId="0" borderId="8" xfId="0" applyFont="1" applyFill="1" applyBorder="1" applyAlignment="1" applyProtection="1">
      <alignment horizontal="right"/>
      <protection/>
    </xf>
    <xf numFmtId="0" fontId="2" fillId="2" borderId="13" xfId="0" applyFont="1" applyFill="1" applyBorder="1" applyAlignment="1" applyProtection="1">
      <alignment horizontal="center"/>
      <protection/>
    </xf>
    <xf numFmtId="0" fontId="2" fillId="2" borderId="10" xfId="0" applyFont="1" applyFill="1" applyBorder="1" applyAlignment="1" applyProtection="1">
      <alignment horizontal="center"/>
      <protection/>
    </xf>
    <xf numFmtId="2" fontId="2" fillId="0" borderId="11" xfId="0" applyNumberFormat="1" applyFont="1" applyFill="1" applyBorder="1" applyAlignment="1" applyProtection="1">
      <alignment horizontal="center"/>
      <protection/>
    </xf>
    <xf numFmtId="2" fontId="2" fillId="0" borderId="14" xfId="0" applyNumberFormat="1"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1" fontId="1" fillId="4" borderId="0" xfId="0" applyNumberFormat="1" applyFont="1" applyFill="1" applyBorder="1" applyAlignment="1" applyProtection="1">
      <alignment horizontal="center" vertical="top"/>
      <protection/>
    </xf>
    <xf numFmtId="1" fontId="1" fillId="5" borderId="0" xfId="0" applyNumberFormat="1" applyFont="1" applyFill="1" applyBorder="1" applyAlignment="1" applyProtection="1">
      <alignment horizontal="center" vertical="top"/>
      <protection/>
    </xf>
    <xf numFmtId="1" fontId="1" fillId="6" borderId="0" xfId="0" applyNumberFormat="1" applyFont="1" applyFill="1" applyBorder="1" applyAlignment="1" applyProtection="1">
      <alignment horizontal="center" vertical="top"/>
      <protection/>
    </xf>
    <xf numFmtId="1" fontId="1" fillId="7" borderId="0" xfId="0" applyNumberFormat="1" applyFont="1" applyFill="1" applyBorder="1" applyAlignment="1" applyProtection="1">
      <alignment horizontal="center" vertical="top"/>
      <protection/>
    </xf>
    <xf numFmtId="1" fontId="1" fillId="8" borderId="0" xfId="0" applyNumberFormat="1" applyFont="1" applyFill="1" applyBorder="1" applyAlignment="1" applyProtection="1">
      <alignment horizontal="center" vertical="top"/>
      <protection/>
    </xf>
    <xf numFmtId="1" fontId="0" fillId="0" borderId="0" xfId="0" applyNumberFormat="1" applyFont="1" applyFill="1" applyBorder="1" applyAlignment="1">
      <alignment/>
    </xf>
    <xf numFmtId="173" fontId="5" fillId="0" borderId="4" xfId="0" applyNumberFormat="1" applyFont="1" applyFill="1" applyBorder="1" applyAlignment="1" applyProtection="1">
      <alignment/>
      <protection locked="0"/>
    </xf>
    <xf numFmtId="0" fontId="5" fillId="8" borderId="0" xfId="0" applyFont="1" applyFill="1" applyBorder="1" applyAlignment="1" applyProtection="1">
      <alignment horizontal="right"/>
      <protection/>
    </xf>
    <xf numFmtId="0" fontId="2" fillId="8" borderId="9" xfId="0" applyFont="1" applyFill="1" applyBorder="1" applyAlignment="1" applyProtection="1">
      <alignment/>
      <protection/>
    </xf>
    <xf numFmtId="2" fontId="2" fillId="8" borderId="15" xfId="0" applyNumberFormat="1" applyFont="1" applyFill="1" applyBorder="1" applyAlignment="1" applyProtection="1">
      <alignment horizontal="right"/>
      <protection locked="0"/>
    </xf>
    <xf numFmtId="0" fontId="2" fillId="0" borderId="9" xfId="0" applyFont="1" applyFill="1" applyBorder="1" applyAlignment="1" applyProtection="1">
      <alignment horizontal="left"/>
      <protection/>
    </xf>
    <xf numFmtId="2" fontId="2" fillId="0" borderId="15" xfId="0" applyNumberFormat="1" applyFont="1" applyFill="1" applyBorder="1" applyAlignment="1" applyProtection="1">
      <alignment horizontal="right"/>
      <protection locked="0"/>
    </xf>
    <xf numFmtId="0" fontId="2" fillId="0" borderId="8" xfId="0" applyFont="1" applyFill="1" applyBorder="1" applyAlignment="1" applyProtection="1">
      <alignment/>
      <protection/>
    </xf>
    <xf numFmtId="49" fontId="2" fillId="0" borderId="9" xfId="0" applyNumberFormat="1" applyFont="1" applyFill="1" applyBorder="1" applyAlignment="1" applyProtection="1">
      <alignment horizontal="center"/>
      <protection/>
    </xf>
    <xf numFmtId="0" fontId="0" fillId="0" borderId="15" xfId="0" applyFont="1" applyBorder="1" applyAlignment="1">
      <alignment horizontal="center"/>
    </xf>
    <xf numFmtId="0" fontId="2" fillId="2" borderId="15" xfId="0" applyFont="1" applyFill="1" applyBorder="1" applyAlignment="1" applyProtection="1">
      <alignment/>
      <protection/>
    </xf>
    <xf numFmtId="0" fontId="2" fillId="2" borderId="0" xfId="0" applyFont="1" applyFill="1" applyBorder="1" applyAlignment="1" applyProtection="1">
      <alignment/>
      <protection/>
    </xf>
    <xf numFmtId="0" fontId="2" fillId="0" borderId="8" xfId="0" applyFont="1" applyFill="1" applyBorder="1" applyAlignment="1" applyProtection="1">
      <alignment/>
      <protection/>
    </xf>
    <xf numFmtId="2" fontId="2" fillId="0" borderId="8" xfId="0" applyNumberFormat="1" applyFont="1" applyFill="1" applyBorder="1" applyAlignment="1" applyProtection="1">
      <alignment horizontal="center"/>
      <protection/>
    </xf>
    <xf numFmtId="2" fontId="2" fillId="0" borderId="16" xfId="0" applyNumberFormat="1" applyFont="1" applyFill="1" applyBorder="1" applyAlignment="1" applyProtection="1">
      <alignment horizontal="center" vertical="top"/>
      <protection/>
    </xf>
    <xf numFmtId="172" fontId="2" fillId="0" borderId="11" xfId="0" applyNumberFormat="1" applyFont="1" applyFill="1" applyBorder="1" applyAlignment="1" applyProtection="1">
      <alignment/>
      <protection/>
    </xf>
    <xf numFmtId="2" fontId="2" fillId="0" borderId="11" xfId="0" applyNumberFormat="1" applyFont="1" applyFill="1" applyBorder="1" applyAlignment="1" applyProtection="1">
      <alignment/>
      <protection locked="0"/>
    </xf>
    <xf numFmtId="2" fontId="2" fillId="8" borderId="15" xfId="0" applyNumberFormat="1" applyFont="1" applyFill="1" applyBorder="1" applyAlignment="1" applyProtection="1">
      <alignment horizontal="right"/>
      <protection/>
    </xf>
    <xf numFmtId="0" fontId="2" fillId="0" borderId="17" xfId="0" applyFont="1" applyFill="1" applyBorder="1" applyAlignment="1" applyProtection="1">
      <alignment horizontal="center"/>
      <protection/>
    </xf>
    <xf numFmtId="10" fontId="2" fillId="0" borderId="0" xfId="0" applyNumberFormat="1"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172" fontId="2" fillId="0" borderId="9" xfId="0" applyNumberFormat="1" applyFont="1" applyFill="1" applyBorder="1" applyAlignment="1" applyProtection="1">
      <alignment horizontal="center"/>
      <protection/>
    </xf>
    <xf numFmtId="172" fontId="2" fillId="0" borderId="15" xfId="0" applyNumberFormat="1" applyFont="1" applyFill="1" applyBorder="1" applyAlignment="1" applyProtection="1">
      <alignment horizontal="center"/>
      <protection/>
    </xf>
    <xf numFmtId="172" fontId="2" fillId="0" borderId="8" xfId="0" applyNumberFormat="1" applyFont="1" applyFill="1" applyBorder="1" applyAlignment="1" applyProtection="1">
      <alignment/>
      <protection/>
    </xf>
    <xf numFmtId="2" fontId="2" fillId="0" borderId="8" xfId="0" applyNumberFormat="1" applyFont="1" applyFill="1" applyBorder="1" applyAlignment="1" applyProtection="1">
      <alignment/>
      <protection locked="0"/>
    </xf>
    <xf numFmtId="0" fontId="3" fillId="0" borderId="18" xfId="0" applyFont="1" applyFill="1" applyBorder="1" applyAlignment="1">
      <alignment/>
    </xf>
    <xf numFmtId="0" fontId="2" fillId="0" borderId="19"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19"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center" vertical="center"/>
      <protection/>
    </xf>
    <xf numFmtId="0" fontId="2" fillId="2" borderId="6" xfId="0" applyFont="1" applyFill="1" applyBorder="1" applyAlignment="1" applyProtection="1">
      <alignment horizontal="center" vertical="center"/>
      <protection/>
    </xf>
    <xf numFmtId="0" fontId="2" fillId="2" borderId="19" xfId="0"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 fontId="1" fillId="4" borderId="0" xfId="0" applyNumberFormat="1" applyFont="1" applyFill="1" applyBorder="1" applyAlignment="1" applyProtection="1">
      <alignment horizontal="center" vertical="center"/>
      <protection/>
    </xf>
    <xf numFmtId="1" fontId="1" fillId="5" borderId="0" xfId="0" applyNumberFormat="1" applyFont="1" applyFill="1" applyBorder="1" applyAlignment="1" applyProtection="1">
      <alignment horizontal="center" vertical="center"/>
      <protection/>
    </xf>
    <xf numFmtId="1" fontId="1" fillId="6" borderId="0" xfId="0" applyNumberFormat="1" applyFont="1" applyFill="1" applyBorder="1" applyAlignment="1" applyProtection="1">
      <alignment horizontal="center" vertical="center"/>
      <protection/>
    </xf>
    <xf numFmtId="1" fontId="1" fillId="7" borderId="0" xfId="0" applyNumberFormat="1" applyFont="1" applyFill="1" applyBorder="1" applyAlignment="1" applyProtection="1">
      <alignment horizontal="center" vertical="center"/>
      <protection/>
    </xf>
    <xf numFmtId="1" fontId="1" fillId="8"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protection/>
    </xf>
    <xf numFmtId="172" fontId="2" fillId="0" borderId="8" xfId="0" applyNumberFormat="1" applyFont="1" applyFill="1" applyBorder="1" applyAlignment="1" applyProtection="1">
      <alignment horizontal="left"/>
      <protection/>
    </xf>
    <xf numFmtId="2" fontId="2" fillId="0" borderId="8" xfId="0" applyNumberFormat="1" applyFont="1" applyFill="1" applyBorder="1" applyAlignment="1" applyProtection="1">
      <alignment horizontal="right"/>
      <protection locked="0"/>
    </xf>
    <xf numFmtId="2" fontId="2" fillId="0" borderId="0" xfId="0" applyNumberFormat="1" applyFont="1" applyFill="1" applyBorder="1" applyAlignment="1" applyProtection="1">
      <alignment horizontal="right"/>
      <protection locked="0"/>
    </xf>
    <xf numFmtId="0" fontId="2" fillId="8" borderId="0" xfId="0" applyFont="1" applyFill="1" applyBorder="1" applyAlignment="1" applyProtection="1">
      <alignment horizontal="center"/>
      <protection/>
    </xf>
    <xf numFmtId="0" fontId="2" fillId="8" borderId="9" xfId="0" applyFont="1" applyFill="1" applyBorder="1" applyAlignment="1" applyProtection="1">
      <alignment horizontal="left"/>
      <protection/>
    </xf>
    <xf numFmtId="0" fontId="2" fillId="0" borderId="21" xfId="0" applyFont="1" applyFill="1" applyBorder="1" applyAlignment="1" applyProtection="1">
      <alignment horizontal="left"/>
      <protection/>
    </xf>
    <xf numFmtId="2" fontId="2" fillId="0" borderId="22" xfId="0" applyNumberFormat="1" applyFont="1" applyFill="1" applyBorder="1" applyAlignment="1" applyProtection="1">
      <alignment horizontal="right"/>
      <protection locked="0"/>
    </xf>
    <xf numFmtId="0" fontId="2" fillId="0" borderId="8" xfId="0" applyFont="1" applyFill="1" applyBorder="1" applyAlignment="1" applyProtection="1">
      <alignment horizontal="left"/>
      <protection/>
    </xf>
    <xf numFmtId="0" fontId="2" fillId="0" borderId="0" xfId="0" applyFont="1" applyFill="1" applyBorder="1" applyAlignment="1" applyProtection="1">
      <alignment horizontal="right"/>
      <protection/>
    </xf>
    <xf numFmtId="0" fontId="2" fillId="3" borderId="0" xfId="0" applyFont="1" applyFill="1" applyBorder="1" applyAlignment="1" applyProtection="1">
      <alignment horizontal="right"/>
      <protection/>
    </xf>
    <xf numFmtId="0" fontId="2" fillId="0" borderId="9" xfId="0" applyFont="1" applyFill="1" applyBorder="1" applyAlignment="1" applyProtection="1">
      <alignment horizontal="right"/>
      <protection/>
    </xf>
    <xf numFmtId="0" fontId="2" fillId="0" borderId="15" xfId="0" applyFont="1" applyFill="1" applyBorder="1" applyAlignment="1" applyProtection="1">
      <alignment horizontal="right"/>
      <protection/>
    </xf>
    <xf numFmtId="2" fontId="2" fillId="0" borderId="8" xfId="0" applyNumberFormat="1" applyFont="1" applyFill="1" applyBorder="1" applyAlignment="1" applyProtection="1">
      <alignment/>
      <protection/>
    </xf>
    <xf numFmtId="2" fontId="2" fillId="0" borderId="16" xfId="0" applyNumberFormat="1" applyFont="1" applyFill="1" applyBorder="1" applyAlignment="1" applyProtection="1">
      <alignment/>
      <protection/>
    </xf>
    <xf numFmtId="0" fontId="3" fillId="0" borderId="0" xfId="0" applyFont="1" applyFill="1" applyBorder="1" applyAlignment="1">
      <alignment horizontal="center"/>
    </xf>
    <xf numFmtId="174" fontId="5" fillId="0" borderId="4" xfId="0" applyNumberFormat="1" applyFont="1" applyFill="1" applyBorder="1" applyAlignment="1" applyProtection="1">
      <alignment horizontal="center"/>
      <protection locked="0"/>
    </xf>
    <xf numFmtId="2" fontId="2" fillId="0" borderId="4" xfId="0" applyNumberFormat="1" applyFont="1" applyFill="1" applyBorder="1" applyAlignment="1" applyProtection="1">
      <alignment horizontal="right"/>
      <protection locked="0"/>
    </xf>
    <xf numFmtId="0" fontId="2" fillId="8" borderId="21" xfId="0" applyFont="1" applyFill="1" applyBorder="1" applyAlignment="1" applyProtection="1">
      <alignment/>
      <protection/>
    </xf>
    <xf numFmtId="2" fontId="2" fillId="8" borderId="22" xfId="0" applyNumberFormat="1" applyFont="1" applyFill="1" applyBorder="1" applyAlignment="1" applyProtection="1">
      <alignment horizontal="right"/>
      <protection/>
    </xf>
    <xf numFmtId="0" fontId="2" fillId="0" borderId="5" xfId="0" applyFont="1" applyFill="1" applyBorder="1" applyAlignment="1" applyProtection="1">
      <alignment horizontal="left"/>
      <protection/>
    </xf>
    <xf numFmtId="2" fontId="2" fillId="0" borderId="6" xfId="0" applyNumberFormat="1" applyFont="1" applyFill="1" applyBorder="1" applyAlignment="1" applyProtection="1">
      <alignment horizontal="right"/>
      <protection locked="0"/>
    </xf>
    <xf numFmtId="0" fontId="5" fillId="0" borderId="8" xfId="0" applyFont="1" applyFill="1" applyBorder="1" applyAlignment="1" applyProtection="1">
      <alignment horizontal="justify" vertical="center" wrapText="1"/>
      <protection/>
    </xf>
    <xf numFmtId="2" fontId="3" fillId="0" borderId="0" xfId="0" applyNumberFormat="1" applyFont="1" applyFill="1" applyBorder="1" applyAlignment="1">
      <alignment/>
    </xf>
    <xf numFmtId="0" fontId="6" fillId="0" borderId="0" xfId="0" applyFont="1" applyFill="1" applyBorder="1" applyAlignment="1" applyProtection="1">
      <alignment/>
      <protection/>
    </xf>
    <xf numFmtId="2" fontId="2" fillId="8" borderId="13" xfId="0" applyNumberFormat="1" applyFont="1" applyFill="1" applyBorder="1" applyAlignment="1" applyProtection="1">
      <alignment horizontal="right"/>
      <protection locked="0"/>
    </xf>
    <xf numFmtId="0" fontId="0" fillId="0" borderId="7" xfId="0" applyFont="1" applyFill="1" applyBorder="1" applyAlignment="1">
      <alignment/>
    </xf>
    <xf numFmtId="0" fontId="0" fillId="0" borderId="8" xfId="0" applyFont="1" applyFill="1" applyBorder="1" applyAlignment="1">
      <alignment/>
    </xf>
    <xf numFmtId="2" fontId="2" fillId="0" borderId="9" xfId="0" applyNumberFormat="1" applyFont="1" applyFill="1" applyBorder="1" applyAlignment="1" applyProtection="1">
      <alignment horizontal="right"/>
      <protection/>
    </xf>
    <xf numFmtId="2" fontId="2" fillId="0" borderId="15" xfId="0" applyNumberFormat="1" applyFont="1" applyFill="1" applyBorder="1" applyAlignment="1" applyProtection="1">
      <alignment horizontal="right"/>
      <protection/>
    </xf>
    <xf numFmtId="2" fontId="2" fillId="0" borderId="0" xfId="0" applyNumberFormat="1" applyFont="1" applyFill="1" applyBorder="1" applyAlignment="1" applyProtection="1">
      <alignment horizontal="center"/>
      <protection/>
    </xf>
    <xf numFmtId="2" fontId="2" fillId="0" borderId="8" xfId="0" applyNumberFormat="1" applyFont="1" applyFill="1" applyBorder="1" applyAlignment="1" applyProtection="1">
      <alignment horizontal="right"/>
      <protection/>
    </xf>
    <xf numFmtId="2" fontId="2" fillId="0" borderId="16" xfId="0" applyNumberFormat="1" applyFont="1" applyFill="1" applyBorder="1" applyAlignment="1" applyProtection="1">
      <alignment horizontal="right"/>
      <protection/>
    </xf>
    <xf numFmtId="1" fontId="1" fillId="4" borderId="0" xfId="0" applyNumberFormat="1" applyFont="1" applyFill="1" applyBorder="1" applyAlignment="1" applyProtection="1">
      <alignment horizontal="right"/>
      <protection/>
    </xf>
    <xf numFmtId="1" fontId="1" fillId="5" borderId="0" xfId="0" applyNumberFormat="1" applyFont="1" applyFill="1" applyBorder="1" applyAlignment="1" applyProtection="1">
      <alignment horizontal="right"/>
      <protection/>
    </xf>
    <xf numFmtId="1" fontId="1" fillId="6" borderId="0" xfId="0" applyNumberFormat="1" applyFont="1" applyFill="1" applyBorder="1" applyAlignment="1" applyProtection="1">
      <alignment horizontal="right"/>
      <protection/>
    </xf>
    <xf numFmtId="1" fontId="1" fillId="7" borderId="0" xfId="0" applyNumberFormat="1" applyFont="1" applyFill="1" applyBorder="1" applyAlignment="1" applyProtection="1">
      <alignment horizontal="right"/>
      <protection/>
    </xf>
    <xf numFmtId="1" fontId="1" fillId="8" borderId="0" xfId="0" applyNumberFormat="1" applyFont="1" applyFill="1" applyBorder="1" applyAlignment="1" applyProtection="1">
      <alignment horizontal="right"/>
      <protection/>
    </xf>
    <xf numFmtId="2" fontId="7" fillId="0" borderId="0" xfId="0" applyNumberFormat="1" applyFont="1" applyFill="1" applyBorder="1" applyAlignment="1" applyProtection="1">
      <alignment horizontal="center"/>
      <protection/>
    </xf>
    <xf numFmtId="0" fontId="2" fillId="0" borderId="7" xfId="0" applyFont="1" applyFill="1" applyBorder="1" applyAlignment="1" applyProtection="1">
      <alignment horizontal="center" vertical="center" wrapText="1"/>
      <protection/>
    </xf>
    <xf numFmtId="0" fontId="2" fillId="0" borderId="8" xfId="0" applyFont="1" applyFill="1" applyBorder="1" applyAlignment="1" applyProtection="1">
      <alignment vertical="center" wrapText="1"/>
      <protection/>
    </xf>
    <xf numFmtId="0" fontId="8" fillId="0" borderId="8" xfId="0" applyFont="1" applyFill="1" applyBorder="1" applyAlignment="1" applyProtection="1">
      <alignment vertical="center" wrapText="1"/>
      <protection/>
    </xf>
    <xf numFmtId="2" fontId="2" fillId="0" borderId="0" xfId="0" applyNumberFormat="1" applyFont="1" applyFill="1" applyBorder="1" applyAlignment="1" applyProtection="1">
      <alignment horizontal="right"/>
      <protection/>
    </xf>
    <xf numFmtId="1" fontId="9" fillId="7" borderId="0" xfId="0" applyNumberFormat="1" applyFont="1" applyFill="1" applyBorder="1" applyAlignment="1" applyProtection="1">
      <alignment horizontal="right"/>
      <protection/>
    </xf>
    <xf numFmtId="0" fontId="2" fillId="8" borderId="5" xfId="0" applyFont="1" applyFill="1" applyBorder="1" applyAlignment="1" applyProtection="1">
      <alignment/>
      <protection/>
    </xf>
    <xf numFmtId="2" fontId="2" fillId="8" borderId="6" xfId="0" applyNumberFormat="1" applyFont="1" applyFill="1" applyBorder="1" applyAlignment="1" applyProtection="1">
      <alignment horizontal="right"/>
      <protection locked="0"/>
    </xf>
    <xf numFmtId="0" fontId="8" fillId="0" borderId="8" xfId="0" applyFont="1" applyFill="1" applyBorder="1" applyAlignment="1" applyProtection="1">
      <alignment/>
      <protection/>
    </xf>
    <xf numFmtId="2" fontId="2" fillId="0" borderId="16"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8" xfId="0" applyFont="1" applyFill="1" applyBorder="1" applyAlignment="1" applyProtection="1">
      <alignment/>
      <protection/>
    </xf>
    <xf numFmtId="0" fontId="6" fillId="0" borderId="4" xfId="0" applyFont="1" applyFill="1" applyBorder="1" applyAlignment="1">
      <alignment/>
    </xf>
    <xf numFmtId="2" fontId="7" fillId="0" borderId="0" xfId="0" applyNumberFormat="1" applyFont="1" applyFill="1" applyBorder="1" applyAlignment="1">
      <alignment horizontal="center"/>
    </xf>
    <xf numFmtId="0" fontId="5" fillId="0" borderId="0" xfId="0" applyFont="1" applyFill="1" applyBorder="1" applyAlignment="1" applyProtection="1">
      <alignment horizontal="left"/>
      <protection/>
    </xf>
    <xf numFmtId="175" fontId="5" fillId="0" borderId="0" xfId="0" applyNumberFormat="1" applyFont="1" applyFill="1" applyBorder="1" applyAlignment="1" applyProtection="1">
      <alignment horizontal="center"/>
      <protection/>
    </xf>
    <xf numFmtId="10" fontId="10" fillId="0" borderId="4" xfId="0" applyNumberFormat="1" applyFont="1" applyFill="1" applyBorder="1" applyAlignment="1">
      <alignment horizontal="center"/>
    </xf>
    <xf numFmtId="0" fontId="2" fillId="0" borderId="4" xfId="0" applyFont="1" applyFill="1" applyBorder="1" applyAlignment="1" applyProtection="1">
      <alignment/>
      <protection locked="0"/>
    </xf>
    <xf numFmtId="0" fontId="2" fillId="0" borderId="0" xfId="0" applyFont="1" applyFill="1" applyBorder="1" applyAlignment="1" applyProtection="1">
      <alignment/>
      <protection locked="0"/>
    </xf>
    <xf numFmtId="174" fontId="2" fillId="0" borderId="4" xfId="0" applyNumberFormat="1" applyFont="1" applyFill="1" applyBorder="1" applyAlignment="1" applyProtection="1">
      <alignment horizontal="center"/>
      <protection/>
    </xf>
    <xf numFmtId="0" fontId="6" fillId="0" borderId="4" xfId="0" applyFont="1" applyFill="1" applyBorder="1" applyAlignment="1" applyProtection="1">
      <alignment/>
      <protection/>
    </xf>
    <xf numFmtId="2" fontId="6" fillId="0" borderId="0" xfId="0" applyNumberFormat="1" applyFont="1" applyFill="1" applyBorder="1" applyAlignment="1" applyProtection="1">
      <alignment/>
      <protection/>
    </xf>
    <xf numFmtId="0" fontId="6" fillId="0" borderId="0" xfId="0" applyFont="1" applyFill="1" applyBorder="1" applyAlignment="1" applyProtection="1">
      <alignment horizontal="center"/>
      <protection/>
    </xf>
    <xf numFmtId="9" fontId="2" fillId="3" borderId="0" xfId="0" applyNumberFormat="1" applyFont="1" applyFill="1" applyBorder="1" applyAlignment="1" applyProtection="1">
      <alignment horizontal="right"/>
      <protection/>
    </xf>
    <xf numFmtId="0" fontId="6" fillId="0" borderId="4"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2" fillId="0" borderId="8" xfId="0" applyFont="1" applyFill="1" applyBorder="1" applyAlignment="1">
      <alignment/>
    </xf>
    <xf numFmtId="174" fontId="2" fillId="0" borderId="0" xfId="0" applyNumberFormat="1" applyFont="1" applyFill="1" applyBorder="1" applyAlignment="1" applyProtection="1">
      <alignment horizontal="center"/>
      <protection/>
    </xf>
    <xf numFmtId="0" fontId="8" fillId="0" borderId="8" xfId="0" applyFont="1" applyFill="1" applyBorder="1" applyAlignment="1" applyProtection="1">
      <alignment horizontal="justify" vertical="center" wrapText="1"/>
      <protection/>
    </xf>
    <xf numFmtId="0" fontId="0" fillId="0" borderId="8" xfId="0" applyFont="1" applyFill="1" applyBorder="1" applyAlignment="1">
      <alignment horizontal="justify" vertical="center" wrapText="1"/>
    </xf>
    <xf numFmtId="172" fontId="2" fillId="0" borderId="8" xfId="0" applyNumberFormat="1" applyFont="1" applyFill="1" applyBorder="1" applyAlignment="1" applyProtection="1">
      <alignment/>
      <protection/>
    </xf>
    <xf numFmtId="0" fontId="2" fillId="0" borderId="15" xfId="0" applyFont="1" applyFill="1" applyBorder="1" applyAlignment="1" applyProtection="1">
      <alignment horizontal="center"/>
      <protection/>
    </xf>
    <xf numFmtId="1" fontId="9" fillId="7" borderId="0" xfId="0" applyNumberFormat="1" applyFont="1" applyFill="1" applyBorder="1" applyAlignment="1" applyProtection="1">
      <alignment/>
      <protection/>
    </xf>
    <xf numFmtId="2" fontId="2" fillId="0" borderId="23" xfId="0" applyNumberFormat="1" applyFont="1" applyFill="1" applyBorder="1" applyAlignment="1" applyProtection="1">
      <alignment horizontal="right"/>
      <protection/>
    </xf>
    <xf numFmtId="0" fontId="2" fillId="0" borderId="24" xfId="0" applyFont="1" applyFill="1" applyBorder="1" applyAlignment="1" applyProtection="1">
      <alignment horizontal="center"/>
      <protection/>
    </xf>
    <xf numFmtId="0" fontId="2" fillId="0" borderId="25" xfId="0" applyFont="1" applyFill="1" applyBorder="1" applyAlignment="1" applyProtection="1">
      <alignment/>
      <protection/>
    </xf>
    <xf numFmtId="172" fontId="2" fillId="0" borderId="26" xfId="0" applyNumberFormat="1" applyFont="1" applyFill="1" applyBorder="1" applyAlignment="1" applyProtection="1">
      <alignment/>
      <protection/>
    </xf>
    <xf numFmtId="0" fontId="2" fillId="0" borderId="26" xfId="0" applyFont="1" applyBorder="1" applyAlignment="1" applyProtection="1">
      <alignment horizontal="center"/>
      <protection/>
    </xf>
    <xf numFmtId="10" fontId="2" fillId="0" borderId="25" xfId="0" applyNumberFormat="1" applyFont="1" applyFill="1" applyBorder="1" applyAlignment="1" applyProtection="1">
      <alignment horizontal="right"/>
      <protection/>
    </xf>
    <xf numFmtId="0" fontId="2" fillId="0" borderId="25" xfId="0" applyFont="1" applyFill="1" applyBorder="1" applyAlignment="1" applyProtection="1">
      <alignment horizontal="right"/>
      <protection/>
    </xf>
    <xf numFmtId="0" fontId="2" fillId="2" borderId="27" xfId="0" applyFont="1" applyFill="1" applyBorder="1" applyAlignment="1" applyProtection="1">
      <alignment horizontal="center"/>
      <protection/>
    </xf>
    <xf numFmtId="0" fontId="2" fillId="2" borderId="25"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3" borderId="25" xfId="0" applyFont="1" applyFill="1" applyBorder="1" applyAlignment="1" applyProtection="1">
      <alignment horizontal="right"/>
      <protection/>
    </xf>
    <xf numFmtId="2" fontId="2" fillId="0" borderId="28" xfId="0" applyNumberFormat="1" applyFont="1" applyFill="1" applyBorder="1" applyAlignment="1" applyProtection="1">
      <alignment horizontal="right"/>
      <protection/>
    </xf>
    <xf numFmtId="2" fontId="2" fillId="0" borderId="27" xfId="0" applyNumberFormat="1" applyFont="1" applyFill="1" applyBorder="1" applyAlignment="1" applyProtection="1">
      <alignment horizontal="right"/>
      <protection/>
    </xf>
    <xf numFmtId="2" fontId="2" fillId="0" borderId="25" xfId="0" applyNumberFormat="1" applyFont="1" applyFill="1" applyBorder="1" applyAlignment="1" applyProtection="1">
      <alignment horizontal="center"/>
      <protection/>
    </xf>
    <xf numFmtId="2" fontId="2" fillId="0" borderId="26" xfId="0" applyNumberFormat="1" applyFont="1" applyFill="1" applyBorder="1" applyAlignment="1" applyProtection="1">
      <alignment horizontal="center"/>
      <protection/>
    </xf>
    <xf numFmtId="2" fontId="2" fillId="0" borderId="29" xfId="0" applyNumberFormat="1"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10" xfId="0" applyFont="1" applyFill="1" applyBorder="1" applyAlignment="1" applyProtection="1">
      <alignment/>
      <protection/>
    </xf>
    <xf numFmtId="0" fontId="11" fillId="0" borderId="11" xfId="0" applyFont="1" applyFill="1" applyBorder="1" applyAlignment="1" applyProtection="1">
      <alignment/>
      <protection/>
    </xf>
    <xf numFmtId="0" fontId="2" fillId="0" borderId="11" xfId="0" applyFont="1" applyBorder="1" applyAlignment="1" applyProtection="1">
      <alignment horizontal="center"/>
      <protection/>
    </xf>
    <xf numFmtId="10" fontId="2" fillId="0" borderId="10" xfId="0" applyNumberFormat="1" applyFont="1" applyFill="1" applyBorder="1" applyAlignment="1" applyProtection="1">
      <alignment horizontal="right"/>
      <protection/>
    </xf>
    <xf numFmtId="0" fontId="2" fillId="0" borderId="10" xfId="0" applyFont="1" applyFill="1" applyBorder="1" applyAlignment="1" applyProtection="1">
      <alignment horizontal="right"/>
      <protection/>
    </xf>
    <xf numFmtId="0" fontId="2" fillId="3" borderId="10" xfId="0" applyFont="1" applyFill="1" applyBorder="1" applyAlignment="1" applyProtection="1">
      <alignment horizontal="right"/>
      <protection/>
    </xf>
    <xf numFmtId="2" fontId="2" fillId="0" borderId="12" xfId="0" applyNumberFormat="1" applyFont="1" applyFill="1" applyBorder="1" applyAlignment="1" applyProtection="1">
      <alignment horizontal="right"/>
      <protection/>
    </xf>
    <xf numFmtId="2" fontId="2" fillId="0" borderId="13" xfId="0" applyNumberFormat="1" applyFont="1" applyFill="1" applyBorder="1" applyAlignment="1" applyProtection="1">
      <alignment horizontal="right"/>
      <protection/>
    </xf>
    <xf numFmtId="2" fontId="2" fillId="0" borderId="10" xfId="0" applyNumberFormat="1" applyFont="1" applyFill="1" applyBorder="1" applyAlignment="1" applyProtection="1">
      <alignment horizontal="center"/>
      <protection/>
    </xf>
    <xf numFmtId="2" fontId="2" fillId="0" borderId="11" xfId="0" applyNumberFormat="1" applyFont="1" applyFill="1" applyBorder="1" applyAlignment="1" applyProtection="1">
      <alignment horizontal="right"/>
      <protection/>
    </xf>
    <xf numFmtId="2" fontId="2" fillId="3" borderId="0" xfId="0" applyNumberFormat="1" applyFont="1" applyFill="1" applyBorder="1" applyAlignment="1" applyProtection="1">
      <alignment horizontal="right"/>
      <protection/>
    </xf>
    <xf numFmtId="1" fontId="1" fillId="0" borderId="0" xfId="0" applyNumberFormat="1" applyFont="1" applyFill="1" applyBorder="1" applyAlignment="1">
      <alignment horizontal="right"/>
    </xf>
    <xf numFmtId="174" fontId="2" fillId="3" borderId="0" xfId="0" applyNumberFormat="1" applyFont="1" applyFill="1" applyBorder="1" applyAlignment="1" applyProtection="1">
      <alignment horizontal="right"/>
      <protection/>
    </xf>
    <xf numFmtId="0" fontId="2" fillId="0" borderId="9" xfId="0" applyFont="1" applyFill="1" applyBorder="1" applyAlignment="1" applyProtection="1">
      <alignment/>
      <protection/>
    </xf>
    <xf numFmtId="1" fontId="1"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lignment vertical="center"/>
    </xf>
    <xf numFmtId="2" fontId="6"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2" fontId="6" fillId="0" borderId="0" xfId="0" applyNumberFormat="1"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8" xfId="0" applyFont="1" applyBorder="1" applyAlignment="1" applyProtection="1">
      <alignment horizontal="center" vertical="center"/>
      <protection/>
    </xf>
    <xf numFmtId="10" fontId="2"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2" borderId="15"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3" borderId="0" xfId="0" applyFont="1" applyFill="1" applyBorder="1" applyAlignment="1" applyProtection="1">
      <alignment horizontal="right" vertical="center"/>
      <protection/>
    </xf>
    <xf numFmtId="2" fontId="2" fillId="0" borderId="9" xfId="0" applyNumberFormat="1" applyFont="1" applyFill="1" applyBorder="1" applyAlignment="1" applyProtection="1">
      <alignment horizontal="right" vertical="center"/>
      <protection/>
    </xf>
    <xf numFmtId="2" fontId="2" fillId="0" borderId="15" xfId="0" applyNumberFormat="1" applyFont="1" applyFill="1" applyBorder="1" applyAlignment="1" applyProtection="1">
      <alignment horizontal="right" vertical="center"/>
      <protection/>
    </xf>
    <xf numFmtId="2" fontId="2" fillId="0" borderId="0" xfId="0" applyNumberFormat="1" applyFont="1" applyFill="1" applyBorder="1" applyAlignment="1" applyProtection="1">
      <alignment horizontal="center" vertical="center"/>
      <protection/>
    </xf>
    <xf numFmtId="2" fontId="2" fillId="0" borderId="8" xfId="0" applyNumberFormat="1" applyFont="1" applyFill="1" applyBorder="1" applyAlignment="1" applyProtection="1">
      <alignment horizontal="right" vertical="center"/>
      <protection/>
    </xf>
    <xf numFmtId="2" fontId="2" fillId="0" borderId="8" xfId="0" applyNumberFormat="1" applyFont="1" applyFill="1" applyBorder="1" applyAlignment="1" applyProtection="1">
      <alignment vertical="center"/>
      <protection/>
    </xf>
    <xf numFmtId="2" fontId="2" fillId="0" borderId="16" xfId="0" applyNumberFormat="1" applyFont="1" applyFill="1" applyBorder="1" applyAlignment="1" applyProtection="1">
      <alignment vertical="center"/>
      <protection/>
    </xf>
    <xf numFmtId="0" fontId="5" fillId="0" borderId="8" xfId="0" applyFont="1" applyFill="1" applyBorder="1" applyAlignment="1" applyProtection="1">
      <alignment vertical="center"/>
      <protection/>
    </xf>
    <xf numFmtId="0" fontId="3" fillId="0" borderId="0" xfId="0" applyFont="1" applyFill="1" applyAlignment="1">
      <alignment/>
    </xf>
    <xf numFmtId="0" fontId="8" fillId="0" borderId="8" xfId="0" applyFont="1" applyFill="1" applyBorder="1" applyAlignment="1" applyProtection="1">
      <alignment horizontal="left"/>
      <protection/>
    </xf>
    <xf numFmtId="1" fontId="1" fillId="4" borderId="0" xfId="0" applyNumberFormat="1" applyFont="1" applyFill="1" applyBorder="1" applyAlignment="1" applyProtection="1">
      <alignment vertical="center"/>
      <protection/>
    </xf>
    <xf numFmtId="1" fontId="1" fillId="5" borderId="0" xfId="0" applyNumberFormat="1" applyFont="1" applyFill="1" applyBorder="1" applyAlignment="1" applyProtection="1">
      <alignment vertical="center"/>
      <protection/>
    </xf>
    <xf numFmtId="1" fontId="1" fillId="6" borderId="0" xfId="0" applyNumberFormat="1" applyFont="1" applyFill="1" applyBorder="1" applyAlignment="1" applyProtection="1">
      <alignment vertical="center"/>
      <protection/>
    </xf>
    <xf numFmtId="1" fontId="1" fillId="7" borderId="0" xfId="0" applyNumberFormat="1" applyFont="1" applyFill="1" applyBorder="1" applyAlignment="1" applyProtection="1">
      <alignment vertical="center"/>
      <protection/>
    </xf>
    <xf numFmtId="1" fontId="1" fillId="8" borderId="0" xfId="0" applyNumberFormat="1" applyFont="1" applyFill="1" applyBorder="1" applyAlignment="1" applyProtection="1">
      <alignment vertical="center"/>
      <protection/>
    </xf>
    <xf numFmtId="1" fontId="9" fillId="7" borderId="0" xfId="0" applyNumberFormat="1" applyFont="1" applyFill="1" applyBorder="1" applyAlignment="1" applyProtection="1">
      <alignment vertical="center"/>
      <protection/>
    </xf>
    <xf numFmtId="1" fontId="9" fillId="7" borderId="0" xfId="0" applyNumberFormat="1"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172" fontId="2" fillId="0" borderId="0" xfId="0" applyNumberFormat="1" applyFont="1" applyFill="1" applyBorder="1" applyAlignment="1" applyProtection="1">
      <alignment/>
      <protection/>
    </xf>
    <xf numFmtId="0" fontId="2" fillId="0" borderId="0" xfId="0" applyFont="1" applyBorder="1" applyAlignment="1" applyProtection="1">
      <alignment horizontal="center"/>
      <protection/>
    </xf>
    <xf numFmtId="0" fontId="2" fillId="4" borderId="0" xfId="0" applyFont="1" applyFill="1" applyBorder="1" applyAlignment="1" applyProtection="1">
      <alignment horizontal="center"/>
      <protection/>
    </xf>
    <xf numFmtId="0" fontId="2" fillId="5" borderId="0" xfId="0" applyFont="1" applyFill="1" applyBorder="1" applyAlignment="1" applyProtection="1">
      <alignment horizontal="center"/>
      <protection/>
    </xf>
    <xf numFmtId="0" fontId="5" fillId="0" borderId="11" xfId="0" applyFont="1" applyFill="1" applyBorder="1" applyAlignment="1" applyProtection="1">
      <alignment horizontal="justify" vertical="center" wrapText="1"/>
      <protection/>
    </xf>
    <xf numFmtId="2" fontId="2" fillId="0" borderId="14"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0" fontId="8" fillId="0" borderId="8" xfId="0" applyFont="1" applyFill="1" applyBorder="1" applyAlignment="1" applyProtection="1">
      <alignment vertical="center"/>
      <protection/>
    </xf>
    <xf numFmtId="2" fontId="2" fillId="0" borderId="8" xfId="0" applyNumberFormat="1" applyFont="1" applyFill="1" applyBorder="1" applyAlignment="1" applyProtection="1">
      <alignment horizontal="center" vertical="center"/>
      <protection/>
    </xf>
    <xf numFmtId="2" fontId="2" fillId="0" borderId="16"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protection/>
    </xf>
    <xf numFmtId="2" fontId="2" fillId="0" borderId="15" xfId="0" applyNumberFormat="1" applyFont="1" applyFill="1" applyBorder="1" applyAlignment="1" applyProtection="1">
      <alignment horizontal="center"/>
      <protection/>
    </xf>
    <xf numFmtId="0" fontId="3" fillId="0" borderId="8" xfId="0" applyFont="1" applyFill="1" applyBorder="1" applyAlignment="1">
      <alignment/>
    </xf>
    <xf numFmtId="0" fontId="12" fillId="0" borderId="7" xfId="0" applyFont="1" applyFill="1" applyBorder="1" applyAlignment="1">
      <alignment horizontal="center"/>
    </xf>
    <xf numFmtId="1" fontId="0" fillId="7" borderId="0" xfId="0" applyNumberFormat="1" applyFont="1" applyFill="1" applyBorder="1" applyAlignment="1">
      <alignment/>
    </xf>
    <xf numFmtId="0" fontId="3" fillId="0" borderId="8" xfId="0" applyFont="1" applyBorder="1" applyAlignment="1">
      <alignment/>
    </xf>
    <xf numFmtId="10" fontId="3" fillId="0" borderId="0" xfId="0" applyNumberFormat="1" applyFont="1" applyFill="1" applyAlignment="1">
      <alignment horizontal="right"/>
    </xf>
    <xf numFmtId="0" fontId="3" fillId="2" borderId="0" xfId="0" applyFont="1" applyFill="1" applyAlignment="1">
      <alignment/>
    </xf>
    <xf numFmtId="0" fontId="3" fillId="3" borderId="0" xfId="0" applyFont="1" applyFill="1" applyAlignment="1">
      <alignment/>
    </xf>
    <xf numFmtId="0" fontId="3" fillId="0" borderId="9" xfId="0" applyFont="1" applyFill="1" applyBorder="1" applyAlignment="1">
      <alignment/>
    </xf>
    <xf numFmtId="0" fontId="3" fillId="0" borderId="15" xfId="0" applyFont="1" applyFill="1" applyBorder="1" applyAlignment="1">
      <alignment/>
    </xf>
    <xf numFmtId="0" fontId="3" fillId="0" borderId="0" xfId="0" applyFont="1" applyFill="1" applyAlignment="1">
      <alignment horizontal="center"/>
    </xf>
    <xf numFmtId="2" fontId="3" fillId="0" borderId="8" xfId="0" applyNumberFormat="1" applyFont="1" applyFill="1" applyBorder="1" applyAlignment="1">
      <alignment/>
    </xf>
    <xf numFmtId="2" fontId="3" fillId="0" borderId="16" xfId="0" applyNumberFormat="1" applyFont="1" applyFill="1" applyBorder="1" applyAlignment="1">
      <alignment/>
    </xf>
    <xf numFmtId="1" fontId="9" fillId="8" borderId="0" xfId="0" applyNumberFormat="1" applyFont="1" applyFill="1" applyBorder="1" applyAlignment="1" applyProtection="1">
      <alignment horizontal="right"/>
      <protection/>
    </xf>
    <xf numFmtId="0" fontId="2" fillId="0" borderId="26" xfId="0" applyFont="1" applyFill="1" applyBorder="1" applyAlignment="1" applyProtection="1">
      <alignment/>
      <protection/>
    </xf>
    <xf numFmtId="10" fontId="2" fillId="3" borderId="25" xfId="0" applyNumberFormat="1" applyFont="1" applyFill="1" applyBorder="1" applyAlignment="1" applyProtection="1">
      <alignment horizontal="right"/>
      <protection/>
    </xf>
    <xf numFmtId="172" fontId="2" fillId="0" borderId="0" xfId="0" applyNumberFormat="1" applyFont="1" applyFill="1" applyBorder="1" applyAlignment="1" applyProtection="1">
      <alignment horizontal="right"/>
      <protection/>
    </xf>
    <xf numFmtId="2" fontId="2" fillId="0" borderId="0" xfId="0" applyNumberFormat="1" applyFont="1" applyAlignment="1" applyProtection="1">
      <alignment/>
      <protection/>
    </xf>
    <xf numFmtId="10" fontId="2" fillId="0" borderId="0" xfId="0" applyNumberFormat="1" applyFont="1" applyAlignment="1" applyProtection="1">
      <alignment horizontal="left"/>
      <protection/>
    </xf>
    <xf numFmtId="0" fontId="3" fillId="0" borderId="0" xfId="0" applyFont="1" applyAlignment="1">
      <alignment/>
    </xf>
    <xf numFmtId="176" fontId="2" fillId="3" borderId="0" xfId="0" applyNumberFormat="1" applyFont="1" applyFill="1" applyAlignment="1" applyProtection="1">
      <alignment horizontal="left"/>
      <protection/>
    </xf>
    <xf numFmtId="2" fontId="2" fillId="0" borderId="0" xfId="0" applyNumberFormat="1" applyFont="1" applyFill="1" applyBorder="1" applyAlignment="1" applyProtection="1">
      <alignment horizontal="right" vertical="center"/>
      <protection/>
    </xf>
    <xf numFmtId="2" fontId="2" fillId="0" borderId="2" xfId="0" applyNumberFormat="1" applyFont="1" applyFill="1" applyBorder="1" applyAlignment="1" applyProtection="1">
      <alignment horizontal="center" vertical="center"/>
      <protection/>
    </xf>
    <xf numFmtId="0" fontId="2" fillId="0" borderId="0" xfId="0" applyFont="1" applyFill="1" applyBorder="1" applyAlignment="1">
      <alignment/>
    </xf>
    <xf numFmtId="2" fontId="2" fillId="4" borderId="0" xfId="0" applyNumberFormat="1" applyFont="1" applyFill="1" applyBorder="1" applyAlignment="1" applyProtection="1">
      <alignment horizontal="right" vertical="center"/>
      <protection/>
    </xf>
    <xf numFmtId="2" fontId="2" fillId="5" borderId="0" xfId="0" applyNumberFormat="1" applyFont="1" applyFill="1" applyBorder="1" applyAlignment="1" applyProtection="1">
      <alignment horizontal="right" vertical="center"/>
      <protection/>
    </xf>
    <xf numFmtId="1" fontId="2" fillId="6" borderId="0" xfId="0" applyNumberFormat="1" applyFont="1" applyFill="1" applyBorder="1" applyAlignment="1" applyProtection="1">
      <alignment horizontal="right" vertical="center"/>
      <protection/>
    </xf>
    <xf numFmtId="1" fontId="2" fillId="7" borderId="0" xfId="0" applyNumberFormat="1" applyFont="1" applyFill="1" applyBorder="1" applyAlignment="1" applyProtection="1">
      <alignment horizontal="right" vertical="center"/>
      <protection/>
    </xf>
    <xf numFmtId="1" fontId="2" fillId="8" borderId="0" xfId="0" applyNumberFormat="1" applyFont="1" applyFill="1" applyBorder="1" applyAlignment="1" applyProtection="1">
      <alignment horizontal="right" vertical="center"/>
      <protection/>
    </xf>
    <xf numFmtId="1" fontId="2" fillId="8" borderId="0" xfId="0"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right"/>
      <protection/>
    </xf>
    <xf numFmtId="0" fontId="3" fillId="0" borderId="10" xfId="0" applyFont="1" applyFill="1" applyBorder="1" applyAlignment="1">
      <alignment/>
    </xf>
    <xf numFmtId="0" fontId="2" fillId="0" borderId="11" xfId="0" applyFont="1" applyFill="1" applyBorder="1" applyAlignment="1" applyProtection="1">
      <alignment/>
      <protection/>
    </xf>
    <xf numFmtId="0" fontId="3" fillId="0" borderId="11" xfId="0" applyFont="1" applyBorder="1" applyAlignment="1">
      <alignment/>
    </xf>
    <xf numFmtId="10" fontId="3" fillId="0" borderId="10" xfId="0" applyNumberFormat="1" applyFont="1" applyFill="1" applyBorder="1" applyAlignment="1">
      <alignment horizontal="right"/>
    </xf>
    <xf numFmtId="0" fontId="3" fillId="2" borderId="13" xfId="0" applyFont="1" applyFill="1" applyBorder="1" applyAlignment="1">
      <alignment/>
    </xf>
    <xf numFmtId="0" fontId="3" fillId="2" borderId="12" xfId="0" applyFont="1" applyFill="1" applyBorder="1" applyAlignment="1">
      <alignment/>
    </xf>
    <xf numFmtId="0" fontId="3" fillId="0" borderId="11" xfId="0" applyFont="1" applyFill="1" applyBorder="1" applyAlignment="1">
      <alignment/>
    </xf>
    <xf numFmtId="0" fontId="3" fillId="3" borderId="10"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horizontal="center"/>
    </xf>
    <xf numFmtId="2" fontId="3" fillId="0" borderId="11" xfId="0" applyNumberFormat="1" applyFont="1" applyFill="1" applyBorder="1" applyAlignment="1">
      <alignment/>
    </xf>
    <xf numFmtId="2" fontId="3" fillId="0" borderId="14" xfId="0" applyNumberFormat="1" applyFont="1" applyFill="1" applyBorder="1" applyAlignment="1">
      <alignment/>
    </xf>
    <xf numFmtId="2" fontId="13"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2" fillId="0" borderId="7"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8" xfId="0" applyFont="1" applyFill="1" applyBorder="1" applyAlignment="1" applyProtection="1">
      <alignment horizontal="justify" vertical="top"/>
      <protection/>
    </xf>
    <xf numFmtId="0" fontId="2" fillId="0" borderId="8" xfId="0" applyFont="1" applyBorder="1" applyAlignment="1" applyProtection="1">
      <alignment horizontal="center" vertical="top"/>
      <protection/>
    </xf>
    <xf numFmtId="10" fontId="2" fillId="0" borderId="0" xfId="0" applyNumberFormat="1"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2" fillId="2" borderId="15" xfId="0" applyFont="1" applyFill="1" applyBorder="1" applyAlignment="1" applyProtection="1">
      <alignment horizontal="center" vertical="top"/>
      <protection/>
    </xf>
    <xf numFmtId="0" fontId="2" fillId="2" borderId="0" xfId="0" applyFont="1" applyFill="1" applyBorder="1" applyAlignment="1" applyProtection="1">
      <alignment horizontal="center" vertical="top"/>
      <protection/>
    </xf>
    <xf numFmtId="2" fontId="2" fillId="0" borderId="8" xfId="0" applyNumberFormat="1" applyFont="1" applyFill="1" applyBorder="1" applyAlignment="1" applyProtection="1">
      <alignment horizontal="center" vertical="top"/>
      <protection/>
    </xf>
    <xf numFmtId="0" fontId="2" fillId="0" borderId="8" xfId="0" applyFont="1" applyFill="1" applyBorder="1" applyAlignment="1" applyProtection="1">
      <alignment horizontal="center" vertical="top"/>
      <protection/>
    </xf>
    <xf numFmtId="2" fontId="2" fillId="3" borderId="0" xfId="0" applyNumberFormat="1" applyFont="1" applyFill="1" applyBorder="1" applyAlignment="1" applyProtection="1">
      <alignment horizontal="right" vertical="top"/>
      <protection/>
    </xf>
    <xf numFmtId="0" fontId="2" fillId="3" borderId="0" xfId="0" applyFont="1" applyFill="1" applyBorder="1" applyAlignment="1" applyProtection="1">
      <alignment horizontal="right" vertical="top"/>
      <protection/>
    </xf>
    <xf numFmtId="2" fontId="2" fillId="0" borderId="9" xfId="0" applyNumberFormat="1" applyFont="1" applyFill="1" applyBorder="1" applyAlignment="1" applyProtection="1">
      <alignment horizontal="right" vertical="top"/>
      <protection/>
    </xf>
    <xf numFmtId="2" fontId="2" fillId="0" borderId="15" xfId="0" applyNumberFormat="1" applyFont="1" applyFill="1" applyBorder="1" applyAlignment="1" applyProtection="1">
      <alignment horizontal="right" vertical="top"/>
      <protection/>
    </xf>
    <xf numFmtId="2" fontId="2" fillId="0" borderId="0" xfId="0" applyNumberFormat="1" applyFont="1" applyFill="1" applyBorder="1" applyAlignment="1" applyProtection="1">
      <alignment horizontal="center" vertical="top"/>
      <protection/>
    </xf>
    <xf numFmtId="2" fontId="2" fillId="0" borderId="8" xfId="0" applyNumberFormat="1" applyFont="1" applyFill="1" applyBorder="1" applyAlignment="1" applyProtection="1">
      <alignment horizontal="right" vertical="top"/>
      <protection/>
    </xf>
    <xf numFmtId="2" fontId="2" fillId="0" borderId="16" xfId="0" applyNumberFormat="1" applyFont="1" applyFill="1" applyBorder="1" applyAlignment="1" applyProtection="1">
      <alignment horizontal="right" vertical="top"/>
      <protection/>
    </xf>
    <xf numFmtId="1" fontId="1" fillId="4" borderId="0" xfId="0" applyNumberFormat="1" applyFont="1" applyFill="1" applyBorder="1" applyAlignment="1" applyProtection="1">
      <alignment horizontal="right" vertical="top"/>
      <protection/>
    </xf>
    <xf numFmtId="1" fontId="1" fillId="5" borderId="0" xfId="0" applyNumberFormat="1" applyFont="1" applyFill="1" applyBorder="1" applyAlignment="1" applyProtection="1">
      <alignment horizontal="right" vertical="top"/>
      <protection/>
    </xf>
    <xf numFmtId="1" fontId="1" fillId="6" borderId="0" xfId="0" applyNumberFormat="1" applyFont="1" applyFill="1" applyBorder="1" applyAlignment="1" applyProtection="1">
      <alignment horizontal="right" vertical="top"/>
      <protection/>
    </xf>
    <xf numFmtId="1" fontId="9" fillId="7" borderId="0" xfId="0" applyNumberFormat="1" applyFont="1" applyFill="1" applyBorder="1" applyAlignment="1" applyProtection="1">
      <alignment horizontal="right" vertical="top"/>
      <protection/>
    </xf>
    <xf numFmtId="1" fontId="1" fillId="8" borderId="0" xfId="0" applyNumberFormat="1" applyFont="1" applyFill="1" applyBorder="1" applyAlignment="1">
      <alignment vertical="top"/>
    </xf>
    <xf numFmtId="1" fontId="1" fillId="8" borderId="0" xfId="0" applyNumberFormat="1" applyFont="1" applyFill="1" applyBorder="1" applyAlignment="1" applyProtection="1">
      <alignment horizontal="right" vertical="top"/>
      <protection/>
    </xf>
    <xf numFmtId="0" fontId="2" fillId="0" borderId="0" xfId="0" applyFont="1" applyFill="1" applyBorder="1" applyAlignment="1" applyProtection="1">
      <alignment horizontal="left" vertical="top"/>
      <protection/>
    </xf>
    <xf numFmtId="0" fontId="2" fillId="0" borderId="8" xfId="0" applyFont="1" applyFill="1" applyBorder="1" applyAlignment="1" applyProtection="1">
      <alignment horizontal="justify" vertical="top" wrapText="1"/>
      <protection/>
    </xf>
    <xf numFmtId="1" fontId="1" fillId="6" borderId="0" xfId="0" applyNumberFormat="1" applyFont="1" applyFill="1" applyBorder="1" applyAlignment="1">
      <alignment vertical="top"/>
    </xf>
    <xf numFmtId="1" fontId="9" fillId="7" borderId="0" xfId="0" applyNumberFormat="1" applyFont="1" applyFill="1" applyBorder="1" applyAlignment="1">
      <alignment vertical="top"/>
    </xf>
    <xf numFmtId="0" fontId="2" fillId="0" borderId="7" xfId="0" applyFont="1" applyFill="1" applyBorder="1" applyAlignment="1">
      <alignment horizontal="center"/>
    </xf>
    <xf numFmtId="0" fontId="2" fillId="0" borderId="0" xfId="0" applyFont="1" applyFill="1" applyAlignment="1">
      <alignment/>
    </xf>
    <xf numFmtId="0" fontId="1" fillId="4" borderId="0" xfId="0" applyFont="1" applyFill="1" applyBorder="1" applyAlignment="1">
      <alignment/>
    </xf>
    <xf numFmtId="0" fontId="1" fillId="5" borderId="0" xfId="0" applyFont="1" applyFill="1" applyBorder="1" applyAlignment="1">
      <alignment/>
    </xf>
    <xf numFmtId="1" fontId="9" fillId="7" borderId="0" xfId="0" applyNumberFormat="1" applyFont="1" applyFill="1" applyBorder="1" applyAlignment="1">
      <alignment/>
    </xf>
    <xf numFmtId="10" fontId="2" fillId="3" borderId="0" xfId="0" applyNumberFormat="1" applyFont="1" applyFill="1" applyBorder="1" applyAlignment="1" applyProtection="1">
      <alignment horizontal="right"/>
      <protection/>
    </xf>
    <xf numFmtId="1" fontId="1" fillId="4" borderId="0" xfId="0" applyNumberFormat="1" applyFont="1" applyFill="1" applyBorder="1" applyAlignment="1">
      <alignment/>
    </xf>
    <xf numFmtId="1" fontId="1" fillId="5" borderId="0" xfId="0" applyNumberFormat="1" applyFont="1" applyFill="1" applyBorder="1" applyAlignment="1">
      <alignment/>
    </xf>
    <xf numFmtId="0" fontId="3" fillId="0" borderId="7" xfId="0" applyFont="1" applyFill="1" applyBorder="1" applyAlignment="1">
      <alignment/>
    </xf>
    <xf numFmtId="2" fontId="2" fillId="3" borderId="0" xfId="0" applyNumberFormat="1" applyFont="1" applyFill="1" applyBorder="1" applyAlignment="1" applyProtection="1">
      <alignment horizontal="right" vertical="center"/>
      <protection/>
    </xf>
    <xf numFmtId="2" fontId="2" fillId="0" borderId="16" xfId="0" applyNumberFormat="1" applyFont="1" applyFill="1" applyBorder="1" applyAlignment="1" applyProtection="1">
      <alignment horizontal="right" vertical="center"/>
      <protection/>
    </xf>
    <xf numFmtId="1" fontId="1" fillId="4" borderId="0" xfId="0" applyNumberFormat="1" applyFont="1" applyFill="1" applyBorder="1" applyAlignment="1" applyProtection="1">
      <alignment horizontal="right" vertical="center"/>
      <protection/>
    </xf>
    <xf numFmtId="1" fontId="1" fillId="5" borderId="0" xfId="0" applyNumberFormat="1" applyFont="1" applyFill="1" applyBorder="1" applyAlignment="1" applyProtection="1">
      <alignment horizontal="right" vertical="center"/>
      <protection/>
    </xf>
    <xf numFmtId="1" fontId="1" fillId="6" borderId="0" xfId="0" applyNumberFormat="1" applyFont="1" applyFill="1" applyBorder="1" applyAlignment="1" applyProtection="1">
      <alignment horizontal="right" vertical="center"/>
      <protection/>
    </xf>
    <xf numFmtId="1" fontId="9" fillId="7" borderId="0" xfId="0" applyNumberFormat="1" applyFont="1" applyFill="1" applyBorder="1" applyAlignment="1" applyProtection="1">
      <alignment horizontal="right" vertical="center"/>
      <protection/>
    </xf>
    <xf numFmtId="1" fontId="1" fillId="8" borderId="0" xfId="0" applyNumberFormat="1" applyFont="1" applyFill="1" applyBorder="1" applyAlignment="1" applyProtection="1">
      <alignment horizontal="right" vertical="center"/>
      <protection/>
    </xf>
    <xf numFmtId="1" fontId="1" fillId="7" borderId="0" xfId="0" applyNumberFormat="1" applyFont="1" applyFill="1" applyBorder="1" applyAlignment="1" applyProtection="1">
      <alignment horizontal="right" vertical="center"/>
      <protection/>
    </xf>
    <xf numFmtId="1" fontId="9" fillId="8" borderId="0" xfId="0" applyNumberFormat="1" applyFont="1" applyFill="1" applyBorder="1" applyAlignment="1" applyProtection="1">
      <alignment horizontal="right" vertical="center"/>
      <protection/>
    </xf>
    <xf numFmtId="1" fontId="1" fillId="8" borderId="0" xfId="0" applyNumberFormat="1" applyFont="1" applyFill="1" applyBorder="1" applyAlignment="1">
      <alignment vertical="center"/>
    </xf>
    <xf numFmtId="0" fontId="8" fillId="0" borderId="7" xfId="0" applyFont="1" applyFill="1" applyBorder="1" applyAlignment="1" applyProtection="1">
      <alignment horizontal="center"/>
      <protection/>
    </xf>
    <xf numFmtId="0" fontId="11" fillId="0" borderId="0" xfId="0" applyFont="1" applyFill="1" applyBorder="1" applyAlignment="1" applyProtection="1">
      <alignment/>
      <protection/>
    </xf>
    <xf numFmtId="172" fontId="11" fillId="0" borderId="8" xfId="0" applyNumberFormat="1" applyFont="1" applyFill="1" applyBorder="1" applyAlignment="1" applyProtection="1">
      <alignment horizontal="right"/>
      <protection/>
    </xf>
    <xf numFmtId="2" fontId="11" fillId="0" borderId="8" xfId="0" applyNumberFormat="1" applyFont="1" applyBorder="1" applyAlignment="1" applyProtection="1">
      <alignment/>
      <protection/>
    </xf>
    <xf numFmtId="10" fontId="11" fillId="0" borderId="0" xfId="0" applyNumberFormat="1" applyFont="1" applyFill="1" applyBorder="1" applyAlignment="1" applyProtection="1">
      <alignment horizontal="right"/>
      <protection/>
    </xf>
    <xf numFmtId="172" fontId="11" fillId="2" borderId="0" xfId="0" applyNumberFormat="1" applyFont="1" applyFill="1" applyBorder="1" applyAlignment="1" applyProtection="1">
      <alignment/>
      <protection/>
    </xf>
    <xf numFmtId="2" fontId="11" fillId="2" borderId="0" xfId="0" applyNumberFormat="1" applyFont="1" applyFill="1" applyBorder="1" applyAlignment="1" applyProtection="1">
      <alignment horizontal="right"/>
      <protection/>
    </xf>
    <xf numFmtId="0" fontId="11" fillId="0" borderId="8" xfId="0" applyFont="1" applyFill="1" applyBorder="1" applyAlignment="1" applyProtection="1">
      <alignment horizontal="center"/>
      <protection/>
    </xf>
    <xf numFmtId="2" fontId="11" fillId="0" borderId="8" xfId="0" applyNumberFormat="1" applyFont="1" applyFill="1" applyBorder="1" applyAlignment="1" applyProtection="1">
      <alignment horizontal="right"/>
      <protection/>
    </xf>
    <xf numFmtId="176" fontId="11" fillId="3" borderId="0" xfId="0" applyNumberFormat="1" applyFont="1" applyFill="1" applyBorder="1" applyAlignment="1" applyProtection="1">
      <alignment horizontal="left"/>
      <protection/>
    </xf>
    <xf numFmtId="0" fontId="11" fillId="3" borderId="0" xfId="0" applyFont="1" applyFill="1" applyBorder="1" applyAlignment="1" applyProtection="1">
      <alignment/>
      <protection/>
    </xf>
    <xf numFmtId="2" fontId="11" fillId="0" borderId="9" xfId="0" applyNumberFormat="1" applyFont="1" applyFill="1" applyBorder="1" applyAlignment="1" applyProtection="1">
      <alignment horizontal="right"/>
      <protection/>
    </xf>
    <xf numFmtId="2" fontId="11" fillId="0" borderId="15" xfId="0" applyNumberFormat="1" applyFont="1" applyFill="1" applyBorder="1" applyAlignment="1" applyProtection="1">
      <alignment horizontal="left"/>
      <protection/>
    </xf>
    <xf numFmtId="2" fontId="11" fillId="0" borderId="0" xfId="0" applyNumberFormat="1" applyFont="1" applyFill="1" applyBorder="1" applyAlignment="1" applyProtection="1">
      <alignment horizontal="center"/>
      <protection/>
    </xf>
    <xf numFmtId="0" fontId="14" fillId="0" borderId="8" xfId="0" applyFont="1" applyFill="1" applyBorder="1" applyAlignment="1" applyProtection="1">
      <alignment/>
      <protection/>
    </xf>
    <xf numFmtId="2" fontId="11" fillId="0" borderId="8" xfId="0" applyNumberFormat="1" applyFont="1" applyFill="1" applyBorder="1" applyAlignment="1" applyProtection="1">
      <alignment/>
      <protection/>
    </xf>
    <xf numFmtId="2" fontId="11" fillId="0" borderId="16" xfId="0" applyNumberFormat="1" applyFont="1" applyFill="1" applyBorder="1" applyAlignment="1" applyProtection="1">
      <alignment/>
      <protection/>
    </xf>
    <xf numFmtId="1" fontId="0" fillId="6" borderId="0" xfId="0" applyNumberFormat="1" applyFont="1" applyFill="1" applyBorder="1" applyAlignment="1">
      <alignment/>
    </xf>
    <xf numFmtId="1" fontId="15" fillId="8"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right"/>
      <protection/>
    </xf>
    <xf numFmtId="172" fontId="11" fillId="0" borderId="0" xfId="0" applyNumberFormat="1" applyFont="1" applyFill="1" applyBorder="1" applyAlignment="1" applyProtection="1">
      <alignment/>
      <protection/>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pplyProtection="1">
      <alignment/>
      <protection/>
    </xf>
    <xf numFmtId="0" fontId="16"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pplyProtection="1">
      <alignment/>
      <protection/>
    </xf>
    <xf numFmtId="2" fontId="2" fillId="0" borderId="23" xfId="0" applyNumberFormat="1" applyFont="1" applyFill="1" applyBorder="1" applyAlignment="1" applyProtection="1">
      <alignment/>
      <protection/>
    </xf>
    <xf numFmtId="2" fontId="2" fillId="3" borderId="25" xfId="0" applyNumberFormat="1" applyFont="1" applyFill="1" applyBorder="1" applyAlignment="1" applyProtection="1">
      <alignment horizontal="right"/>
      <protection/>
    </xf>
    <xf numFmtId="2" fontId="2" fillId="0" borderId="31" xfId="0" applyNumberFormat="1" applyFont="1" applyFill="1" applyBorder="1" applyAlignment="1" applyProtection="1">
      <alignment horizontal="right"/>
      <protection/>
    </xf>
    <xf numFmtId="2" fontId="2" fillId="0" borderId="2" xfId="0" applyNumberFormat="1" applyFont="1" applyFill="1" applyBorder="1" applyAlignment="1" applyProtection="1">
      <alignment horizontal="center"/>
      <protection/>
    </xf>
    <xf numFmtId="1" fontId="2" fillId="8" borderId="0" xfId="0" applyNumberFormat="1" applyFont="1" applyFill="1" applyBorder="1" applyAlignment="1" applyProtection="1">
      <alignment/>
      <protection/>
    </xf>
    <xf numFmtId="0" fontId="17" fillId="0" borderId="0" xfId="0" applyFont="1" applyFill="1" applyBorder="1" applyAlignment="1">
      <alignment horizontal="right"/>
    </xf>
    <xf numFmtId="0" fontId="3" fillId="0" borderId="0" xfId="0" applyFont="1" applyBorder="1" applyAlignment="1">
      <alignment/>
    </xf>
    <xf numFmtId="10" fontId="3" fillId="0" borderId="0" xfId="0" applyNumberFormat="1" applyFont="1" applyBorder="1" applyAlignment="1">
      <alignment horizontal="right"/>
    </xf>
    <xf numFmtId="0" fontId="13" fillId="0" borderId="0" xfId="0" applyFont="1" applyBorder="1" applyAlignment="1" applyProtection="1">
      <alignment/>
      <protection/>
    </xf>
    <xf numFmtId="172" fontId="13" fillId="2" borderId="0" xfId="0" applyNumberFormat="1" applyFont="1" applyFill="1" applyBorder="1" applyAlignment="1" applyProtection="1">
      <alignment/>
      <protection/>
    </xf>
    <xf numFmtId="2" fontId="13" fillId="2" borderId="0" xfId="0" applyNumberFormat="1" applyFont="1" applyFill="1" applyBorder="1" applyAlignment="1" applyProtection="1">
      <alignment horizontal="right"/>
      <protection/>
    </xf>
    <xf numFmtId="0" fontId="3" fillId="3" borderId="0" xfId="0" applyFont="1" applyFill="1" applyBorder="1" applyAlignment="1">
      <alignment/>
    </xf>
    <xf numFmtId="0" fontId="13" fillId="3" borderId="0" xfId="0" applyFont="1" applyFill="1" applyBorder="1" applyAlignment="1" applyProtection="1">
      <alignment/>
      <protection/>
    </xf>
    <xf numFmtId="2" fontId="13" fillId="0" borderId="0" xfId="0" applyNumberFormat="1" applyFont="1" applyFill="1" applyBorder="1" applyAlignment="1" applyProtection="1">
      <alignment horizontal="left"/>
      <protection/>
    </xf>
    <xf numFmtId="172" fontId="13" fillId="0" borderId="0" xfId="0" applyNumberFormat="1" applyFont="1" applyFill="1" applyBorder="1" applyAlignment="1" applyProtection="1">
      <alignment horizontal="right"/>
      <protection/>
    </xf>
    <xf numFmtId="2" fontId="13"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2" fontId="2" fillId="4" borderId="0" xfId="0" applyNumberFormat="1" applyFont="1" applyFill="1" applyBorder="1" applyAlignment="1" applyProtection="1">
      <alignment/>
      <protection/>
    </xf>
    <xf numFmtId="2" fontId="2" fillId="5" borderId="0" xfId="0" applyNumberFormat="1" applyFont="1" applyFill="1" applyBorder="1" applyAlignment="1" applyProtection="1">
      <alignment/>
      <protection/>
    </xf>
    <xf numFmtId="172" fontId="2" fillId="0" borderId="11" xfId="0" applyNumberFormat="1" applyFont="1" applyFill="1" applyBorder="1" applyAlignment="1" applyProtection="1">
      <alignment/>
      <protection/>
    </xf>
    <xf numFmtId="2" fontId="2" fillId="0" borderId="11" xfId="0" applyNumberFormat="1" applyFont="1" applyFill="1" applyBorder="1" applyAlignment="1" applyProtection="1">
      <alignment/>
      <protection/>
    </xf>
    <xf numFmtId="2" fontId="2" fillId="0" borderId="14" xfId="0" applyNumberFormat="1" applyFont="1" applyFill="1" applyBorder="1" applyAlignment="1" applyProtection="1">
      <alignment/>
      <protection/>
    </xf>
    <xf numFmtId="172" fontId="2" fillId="0" borderId="7" xfId="0" applyNumberFormat="1" applyFont="1" applyFill="1" applyBorder="1" applyAlignment="1" applyProtection="1">
      <alignment horizontal="center"/>
      <protection/>
    </xf>
    <xf numFmtId="172" fontId="2" fillId="2" borderId="15" xfId="0" applyNumberFormat="1" applyFont="1" applyFill="1" applyBorder="1" applyAlignment="1" applyProtection="1">
      <alignment/>
      <protection/>
    </xf>
    <xf numFmtId="2" fontId="2" fillId="2" borderId="0" xfId="0" applyNumberFormat="1" applyFont="1" applyFill="1" applyBorder="1" applyAlignment="1" applyProtection="1">
      <alignment horizontal="right"/>
      <protection/>
    </xf>
    <xf numFmtId="176" fontId="2" fillId="3" borderId="0" xfId="0" applyNumberFormat="1" applyFont="1" applyFill="1" applyBorder="1" applyAlignment="1" applyProtection="1">
      <alignment horizontal="left"/>
      <protection/>
    </xf>
    <xf numFmtId="0" fontId="2" fillId="3" borderId="0" xfId="0" applyFont="1" applyFill="1" applyBorder="1" applyAlignment="1" applyProtection="1">
      <alignment/>
      <protection/>
    </xf>
    <xf numFmtId="2" fontId="2" fillId="0" borderId="15" xfId="0" applyNumberFormat="1" applyFont="1" applyFill="1" applyBorder="1" applyAlignment="1" applyProtection="1">
      <alignment horizontal="left"/>
      <protection/>
    </xf>
    <xf numFmtId="0" fontId="3" fillId="0" borderId="8" xfId="0" applyFont="1" applyFill="1" applyBorder="1" applyAlignment="1" applyProtection="1">
      <alignment/>
      <protection/>
    </xf>
    <xf numFmtId="2" fontId="2" fillId="0" borderId="9" xfId="0" applyNumberFormat="1" applyFont="1" applyFill="1" applyBorder="1" applyAlignment="1" applyProtection="1">
      <alignment horizontal="center"/>
      <protection/>
    </xf>
    <xf numFmtId="49" fontId="5" fillId="0" borderId="8" xfId="0" applyNumberFormat="1" applyFont="1" applyFill="1" applyBorder="1" applyAlignment="1">
      <alignment horizontal="left"/>
    </xf>
    <xf numFmtId="0" fontId="2" fillId="2" borderId="15"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8" fillId="0" borderId="8" xfId="0" applyFont="1" applyFill="1" applyBorder="1" applyAlignment="1" applyProtection="1">
      <alignment horizontal="left" vertical="center"/>
      <protection/>
    </xf>
    <xf numFmtId="10" fontId="2" fillId="0" borderId="0" xfId="0" applyNumberFormat="1" applyFont="1" applyFill="1" applyAlignment="1" applyProtection="1">
      <alignment horizontal="right" vertical="center"/>
      <protection/>
    </xf>
    <xf numFmtId="0" fontId="2" fillId="3" borderId="0" xfId="0" applyFont="1" applyFill="1" applyAlignment="1" applyProtection="1">
      <alignment horizontal="right" vertical="center"/>
      <protection/>
    </xf>
    <xf numFmtId="0" fontId="2" fillId="2" borderId="15" xfId="0" applyFont="1" applyFill="1" applyBorder="1" applyAlignment="1" applyProtection="1">
      <alignment/>
      <protection/>
    </xf>
    <xf numFmtId="10" fontId="2" fillId="0" borderId="0" xfId="0" applyNumberFormat="1" applyFont="1" applyFill="1" applyAlignment="1" applyProtection="1">
      <alignment horizontal="right"/>
      <protection/>
    </xf>
    <xf numFmtId="0" fontId="2" fillId="2" borderId="0" xfId="0" applyFont="1" applyFill="1" applyBorder="1" applyAlignment="1" applyProtection="1">
      <alignment/>
      <protection/>
    </xf>
    <xf numFmtId="0" fontId="2" fillId="3" borderId="0" xfId="0" applyFont="1" applyFill="1" applyAlignment="1" applyProtection="1">
      <alignment horizontal="right"/>
      <protection/>
    </xf>
    <xf numFmtId="2" fontId="2" fillId="0" borderId="8" xfId="0" applyNumberFormat="1" applyFont="1" applyFill="1" applyBorder="1" applyAlignment="1" applyProtection="1">
      <alignment/>
      <protection/>
    </xf>
    <xf numFmtId="0" fontId="2" fillId="0" borderId="0" xfId="0" applyFont="1" applyFill="1" applyBorder="1" applyAlignment="1">
      <alignment horizontal="center"/>
    </xf>
    <xf numFmtId="0" fontId="2" fillId="0" borderId="15" xfId="0" applyFont="1" applyFill="1" applyBorder="1" applyAlignment="1" applyProtection="1">
      <alignment/>
      <protection/>
    </xf>
    <xf numFmtId="2" fontId="2" fillId="0" borderId="0" xfId="0" applyNumberFormat="1" applyFont="1" applyFill="1" applyAlignment="1" applyProtection="1">
      <alignment horizontal="right"/>
      <protection/>
    </xf>
    <xf numFmtId="2" fontId="2" fillId="3" borderId="0" xfId="0" applyNumberFormat="1" applyFont="1" applyFill="1" applyAlignment="1" applyProtection="1">
      <alignment horizontal="right"/>
      <protection/>
    </xf>
    <xf numFmtId="0" fontId="2" fillId="0" borderId="26" xfId="0" applyFont="1" applyFill="1" applyBorder="1" applyAlignment="1" applyProtection="1">
      <alignment horizontal="left"/>
      <protection/>
    </xf>
    <xf numFmtId="0" fontId="2" fillId="2" borderId="25" xfId="0" applyFont="1" applyFill="1" applyBorder="1" applyAlignment="1" applyProtection="1">
      <alignment/>
      <protection/>
    </xf>
    <xf numFmtId="2" fontId="2" fillId="0" borderId="26" xfId="0" applyNumberFormat="1" applyFont="1" applyFill="1" applyBorder="1" applyAlignment="1" applyProtection="1">
      <alignment/>
      <protection/>
    </xf>
    <xf numFmtId="2" fontId="2" fillId="0" borderId="29" xfId="0" applyNumberFormat="1" applyFont="1" applyFill="1" applyBorder="1" applyAlignment="1" applyProtection="1">
      <alignment/>
      <protection/>
    </xf>
    <xf numFmtId="2" fontId="13" fillId="0" borderId="0" xfId="0" applyNumberFormat="1" applyFont="1" applyAlignment="1" applyProtection="1">
      <alignment/>
      <protection/>
    </xf>
    <xf numFmtId="10" fontId="13" fillId="0" borderId="0" xfId="0" applyNumberFormat="1" applyFont="1" applyAlignment="1" applyProtection="1">
      <alignment horizontal="left"/>
      <protection/>
    </xf>
    <xf numFmtId="176" fontId="13" fillId="3" borderId="0" xfId="0" applyNumberFormat="1" applyFont="1" applyFill="1" applyAlignment="1" applyProtection="1">
      <alignment horizontal="left"/>
      <protection/>
    </xf>
    <xf numFmtId="2" fontId="13" fillId="0" borderId="2" xfId="0" applyNumberFormat="1" applyFont="1" applyFill="1" applyBorder="1" applyAlignment="1" applyProtection="1">
      <alignment horizontal="center"/>
      <protection/>
    </xf>
    <xf numFmtId="0" fontId="18" fillId="0" borderId="0" xfId="0" applyFont="1" applyFill="1" applyBorder="1" applyAlignment="1">
      <alignment/>
    </xf>
    <xf numFmtId="0" fontId="2" fillId="0" borderId="32" xfId="0" applyFont="1" applyFill="1" applyBorder="1" applyAlignment="1" applyProtection="1">
      <alignment horizontal="center"/>
      <protection/>
    </xf>
    <xf numFmtId="0" fontId="17" fillId="0" borderId="0" xfId="0" applyFont="1" applyFill="1" applyAlignment="1">
      <alignment horizontal="right"/>
    </xf>
    <xf numFmtId="10" fontId="3" fillId="0" borderId="0" xfId="0" applyNumberFormat="1" applyFont="1" applyAlignment="1">
      <alignment horizontal="right"/>
    </xf>
    <xf numFmtId="0" fontId="13" fillId="0" borderId="0" xfId="0" applyFont="1" applyAlignment="1" applyProtection="1">
      <alignment/>
      <protection/>
    </xf>
    <xf numFmtId="172" fontId="13" fillId="2" borderId="0" xfId="0" applyNumberFormat="1" applyFont="1" applyFill="1" applyAlignment="1" applyProtection="1">
      <alignment/>
      <protection/>
    </xf>
    <xf numFmtId="2" fontId="13" fillId="2" borderId="0" xfId="0" applyNumberFormat="1" applyFont="1" applyFill="1" applyAlignment="1" applyProtection="1">
      <alignment horizontal="right"/>
      <protection/>
    </xf>
    <xf numFmtId="0" fontId="13" fillId="3" borderId="0" xfId="0" applyFont="1" applyFill="1" applyAlignment="1" applyProtection="1">
      <alignment/>
      <protection/>
    </xf>
    <xf numFmtId="2" fontId="13" fillId="0" borderId="0" xfId="0" applyNumberFormat="1" applyFont="1" applyFill="1" applyAlignment="1" applyProtection="1">
      <alignment horizontal="left"/>
      <protection/>
    </xf>
    <xf numFmtId="172" fontId="13" fillId="0" borderId="0" xfId="0" applyNumberFormat="1" applyFont="1" applyFill="1" applyAlignment="1" applyProtection="1">
      <alignment horizontal="right"/>
      <protection/>
    </xf>
    <xf numFmtId="2" fontId="13" fillId="0" borderId="0" xfId="0" applyNumberFormat="1" applyFont="1" applyFill="1" applyAlignment="1" applyProtection="1">
      <alignment horizontal="right"/>
      <protection/>
    </xf>
    <xf numFmtId="0" fontId="2" fillId="4" borderId="0" xfId="0" applyFont="1" applyFill="1" applyBorder="1" applyAlignment="1" applyProtection="1">
      <alignment/>
      <protection/>
    </xf>
    <xf numFmtId="0" fontId="2" fillId="5" borderId="0" xfId="0" applyFont="1" applyFill="1" applyBorder="1" applyAlignment="1" applyProtection="1">
      <alignment/>
      <protection/>
    </xf>
    <xf numFmtId="0" fontId="8" fillId="0" borderId="11" xfId="0" applyFont="1" applyFill="1" applyBorder="1" applyAlignment="1" applyProtection="1">
      <alignment horizontal="left" vertical="center"/>
      <protection/>
    </xf>
    <xf numFmtId="0" fontId="2" fillId="2" borderId="10" xfId="0" applyFont="1" applyFill="1" applyBorder="1" applyAlignment="1" applyProtection="1">
      <alignment/>
      <protection/>
    </xf>
    <xf numFmtId="2" fontId="2" fillId="3" borderId="10" xfId="0" applyNumberFormat="1" applyFont="1" applyFill="1" applyBorder="1" applyAlignment="1" applyProtection="1">
      <alignment horizontal="right"/>
      <protection/>
    </xf>
    <xf numFmtId="0" fontId="2" fillId="0" borderId="8" xfId="0" applyFont="1" applyFill="1" applyBorder="1" applyAlignment="1" applyProtection="1">
      <alignment horizontal="left" vertical="center"/>
      <protection/>
    </xf>
    <xf numFmtId="10" fontId="3" fillId="0" borderId="0" xfId="0" applyNumberFormat="1" applyFont="1" applyFill="1" applyBorder="1" applyAlignment="1">
      <alignment horizontal="right"/>
    </xf>
    <xf numFmtId="0" fontId="3" fillId="2" borderId="15" xfId="0" applyFont="1" applyFill="1" applyBorder="1" applyAlignment="1">
      <alignment/>
    </xf>
    <xf numFmtId="0" fontId="3" fillId="2" borderId="9" xfId="0" applyFont="1" applyFill="1" applyBorder="1" applyAlignment="1">
      <alignment/>
    </xf>
    <xf numFmtId="0" fontId="2" fillId="0" borderId="8" xfId="0" applyFont="1" applyFill="1" applyBorder="1" applyAlignment="1" applyProtection="1">
      <alignment wrapText="1"/>
      <protection/>
    </xf>
    <xf numFmtId="2" fontId="2" fillId="3" borderId="0" xfId="0" applyNumberFormat="1" applyFont="1" applyFill="1" applyAlignment="1" applyProtection="1">
      <alignment horizontal="right" vertical="center"/>
      <protection/>
    </xf>
    <xf numFmtId="0" fontId="2" fillId="0" borderId="8" xfId="0" applyFont="1" applyFill="1" applyBorder="1" applyAlignment="1" applyProtection="1">
      <alignment horizontal="center"/>
      <protection/>
    </xf>
    <xf numFmtId="174" fontId="2" fillId="0" borderId="0" xfId="0" applyNumberFormat="1" applyFont="1" applyFill="1" applyBorder="1" applyAlignment="1" applyProtection="1">
      <alignment horizontal="right"/>
      <protection/>
    </xf>
    <xf numFmtId="1" fontId="3" fillId="0" borderId="0" xfId="0" applyNumberFormat="1" applyFont="1" applyFill="1" applyBorder="1" applyAlignment="1" applyProtection="1">
      <alignment horizontal="center"/>
      <protection/>
    </xf>
    <xf numFmtId="0" fontId="2" fillId="2" borderId="15" xfId="0" applyFont="1" applyFill="1" applyBorder="1" applyAlignment="1" applyProtection="1">
      <alignment vertical="top"/>
      <protection/>
    </xf>
    <xf numFmtId="2" fontId="2" fillId="0" borderId="8" xfId="0" applyNumberFormat="1" applyFont="1" applyFill="1" applyBorder="1" applyAlignment="1" applyProtection="1">
      <alignment vertical="top"/>
      <protection/>
    </xf>
    <xf numFmtId="2" fontId="2" fillId="0" borderId="23" xfId="0" applyNumberFormat="1" applyFont="1" applyFill="1" applyBorder="1" applyAlignment="1" applyProtection="1">
      <alignment vertical="top"/>
      <protection/>
    </xf>
    <xf numFmtId="1" fontId="1" fillId="4" borderId="0" xfId="0" applyNumberFormat="1" applyFont="1" applyFill="1" applyBorder="1" applyAlignment="1" applyProtection="1">
      <alignment vertical="top"/>
      <protection/>
    </xf>
    <xf numFmtId="1" fontId="1" fillId="5" borderId="0" xfId="0" applyNumberFormat="1" applyFont="1" applyFill="1" applyBorder="1" applyAlignment="1" applyProtection="1">
      <alignment vertical="top"/>
      <protection/>
    </xf>
    <xf numFmtId="1" fontId="1" fillId="6" borderId="0" xfId="0" applyNumberFormat="1" applyFont="1" applyFill="1" applyBorder="1" applyAlignment="1" applyProtection="1">
      <alignment vertical="top"/>
      <protection/>
    </xf>
    <xf numFmtId="1" fontId="9" fillId="7" borderId="0" xfId="0" applyNumberFormat="1" applyFont="1" applyFill="1" applyBorder="1" applyAlignment="1" applyProtection="1">
      <alignment vertical="top"/>
      <protection/>
    </xf>
    <xf numFmtId="1" fontId="1" fillId="8" borderId="0" xfId="0" applyNumberFormat="1" applyFont="1" applyFill="1" applyBorder="1" applyAlignment="1" applyProtection="1">
      <alignment vertical="top"/>
      <protection/>
    </xf>
    <xf numFmtId="1" fontId="1" fillId="0" borderId="0" xfId="0" applyNumberFormat="1" applyFont="1" applyFill="1" applyBorder="1" applyAlignment="1" applyProtection="1">
      <alignment horizontal="right" vertical="top"/>
      <protection/>
    </xf>
    <xf numFmtId="2" fontId="3" fillId="0" borderId="0" xfId="0" applyNumberFormat="1" applyFont="1" applyFill="1" applyBorder="1" applyAlignment="1" applyProtection="1">
      <alignment vertical="top"/>
      <protection/>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vertical="top"/>
      <protection/>
    </xf>
    <xf numFmtId="0" fontId="3"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16" fillId="0" borderId="0" xfId="0"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26" xfId="0" applyFont="1" applyFill="1" applyBorder="1" applyAlignment="1" applyProtection="1">
      <alignment/>
      <protection/>
    </xf>
    <xf numFmtId="0" fontId="2" fillId="2" borderId="27" xfId="0" applyFont="1" applyFill="1" applyBorder="1" applyAlignment="1" applyProtection="1">
      <alignment/>
      <protection/>
    </xf>
    <xf numFmtId="2" fontId="2" fillId="0" borderId="26" xfId="0" applyNumberFormat="1" applyFont="1" applyFill="1" applyBorder="1" applyAlignment="1" applyProtection="1">
      <alignment horizontal="right"/>
      <protection/>
    </xf>
    <xf numFmtId="2" fontId="2" fillId="4" borderId="0" xfId="0" applyNumberFormat="1" applyFont="1" applyFill="1" applyBorder="1" applyAlignment="1" applyProtection="1">
      <alignment horizontal="right"/>
      <protection/>
    </xf>
    <xf numFmtId="2" fontId="2" fillId="5" borderId="0" xfId="0" applyNumberFormat="1" applyFont="1" applyFill="1" applyBorder="1" applyAlignment="1" applyProtection="1">
      <alignment horizontal="right"/>
      <protection/>
    </xf>
    <xf numFmtId="0" fontId="2" fillId="0" borderId="11" xfId="0" applyFont="1" applyFill="1" applyBorder="1" applyAlignment="1" applyProtection="1">
      <alignment/>
      <protection/>
    </xf>
    <xf numFmtId="0" fontId="2" fillId="2" borderId="13" xfId="0" applyFont="1" applyFill="1" applyBorder="1" applyAlignment="1" applyProtection="1">
      <alignment/>
      <protection/>
    </xf>
    <xf numFmtId="0" fontId="0" fillId="9" borderId="0" xfId="0" applyFont="1" applyFill="1" applyAlignment="1">
      <alignment/>
    </xf>
    <xf numFmtId="2" fontId="2" fillId="10" borderId="0" xfId="0" applyNumberFormat="1" applyFont="1" applyFill="1" applyBorder="1" applyAlignment="1" applyProtection="1">
      <alignment horizontal="right"/>
      <protection/>
    </xf>
    <xf numFmtId="0" fontId="0" fillId="10" borderId="0" xfId="0" applyFont="1" applyFill="1" applyAlignment="1">
      <alignment/>
    </xf>
    <xf numFmtId="1" fontId="19" fillId="8"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horizontal="right"/>
      <protection/>
    </xf>
    <xf numFmtId="0" fontId="3" fillId="0" borderId="25" xfId="0" applyFont="1" applyFill="1" applyBorder="1" applyAlignment="1">
      <alignment/>
    </xf>
    <xf numFmtId="0" fontId="0" fillId="4" borderId="25" xfId="0" applyFont="1" applyFill="1" applyBorder="1" applyAlignment="1">
      <alignment/>
    </xf>
    <xf numFmtId="0" fontId="0" fillId="5" borderId="25" xfId="0" applyFont="1" applyFill="1" applyBorder="1" applyAlignment="1">
      <alignment/>
    </xf>
    <xf numFmtId="1" fontId="1" fillId="6" borderId="25" xfId="0" applyNumberFormat="1" applyFont="1" applyFill="1" applyBorder="1" applyAlignment="1">
      <alignment/>
    </xf>
    <xf numFmtId="1" fontId="9" fillId="7" borderId="25" xfId="0" applyNumberFormat="1" applyFont="1" applyFill="1" applyBorder="1" applyAlignment="1" applyProtection="1">
      <alignment horizontal="right"/>
      <protection/>
    </xf>
    <xf numFmtId="1" fontId="1" fillId="8" borderId="25" xfId="0" applyNumberFormat="1" applyFont="1" applyFill="1" applyBorder="1" applyAlignment="1" applyProtection="1">
      <alignment horizontal="right"/>
      <protection/>
    </xf>
    <xf numFmtId="1" fontId="19" fillId="8" borderId="25" xfId="0" applyNumberFormat="1" applyFont="1" applyFill="1" applyBorder="1" applyAlignment="1" applyProtection="1">
      <alignment horizontal="right"/>
      <protection/>
    </xf>
    <xf numFmtId="1" fontId="1" fillId="0" borderId="25" xfId="0" applyNumberFormat="1" applyFont="1" applyFill="1" applyBorder="1" applyAlignment="1" applyProtection="1">
      <alignment horizontal="right"/>
      <protection/>
    </xf>
    <xf numFmtId="2" fontId="3" fillId="0" borderId="25" xfId="0" applyNumberFormat="1" applyFont="1" applyFill="1" applyBorder="1" applyAlignment="1" applyProtection="1">
      <alignment/>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protection/>
    </xf>
    <xf numFmtId="0" fontId="0" fillId="0" borderId="25" xfId="0" applyFont="1" applyFill="1" applyBorder="1" applyAlignment="1">
      <alignment/>
    </xf>
    <xf numFmtId="0" fontId="0" fillId="0" borderId="25" xfId="0" applyFont="1" applyBorder="1" applyAlignment="1">
      <alignment/>
    </xf>
    <xf numFmtId="0" fontId="2" fillId="0" borderId="2" xfId="0" applyFont="1" applyFill="1" applyBorder="1" applyAlignment="1" applyProtection="1">
      <alignment/>
      <protection/>
    </xf>
    <xf numFmtId="0" fontId="2" fillId="0" borderId="2" xfId="0" applyFont="1" applyBorder="1" applyAlignment="1" applyProtection="1">
      <alignment horizontal="center"/>
      <protection/>
    </xf>
    <xf numFmtId="10" fontId="2" fillId="0" borderId="2" xfId="0" applyNumberFormat="1" applyFont="1" applyFill="1" applyBorder="1" applyAlignment="1" applyProtection="1">
      <alignment horizontal="right"/>
      <protection/>
    </xf>
    <xf numFmtId="0" fontId="2" fillId="0" borderId="2" xfId="0" applyFont="1" applyFill="1" applyBorder="1" applyAlignment="1" applyProtection="1">
      <alignment horizontal="right"/>
      <protection/>
    </xf>
    <xf numFmtId="0" fontId="2" fillId="2" borderId="2" xfId="0" applyFont="1" applyFill="1" applyBorder="1" applyAlignment="1" applyProtection="1">
      <alignment/>
      <protection/>
    </xf>
    <xf numFmtId="2" fontId="2" fillId="3" borderId="2" xfId="0" applyNumberFormat="1" applyFont="1" applyFill="1" applyBorder="1" applyAlignment="1" applyProtection="1">
      <alignment horizontal="right"/>
      <protection/>
    </xf>
    <xf numFmtId="0" fontId="2" fillId="3" borderId="2" xfId="0" applyFont="1" applyFill="1" applyBorder="1" applyAlignment="1" applyProtection="1">
      <alignment horizontal="right"/>
      <protection/>
    </xf>
    <xf numFmtId="2" fontId="2" fillId="0" borderId="2" xfId="0" applyNumberFormat="1" applyFont="1" applyFill="1" applyBorder="1" applyAlignment="1" applyProtection="1">
      <alignment horizontal="right"/>
      <protection/>
    </xf>
    <xf numFmtId="2" fontId="20" fillId="0" borderId="2" xfId="0" applyNumberFormat="1" applyFont="1" applyFill="1" applyBorder="1" applyAlignment="1" applyProtection="1">
      <alignment horizontal="right"/>
      <protection/>
    </xf>
    <xf numFmtId="1" fontId="1" fillId="4" borderId="2" xfId="0" applyNumberFormat="1" applyFont="1" applyFill="1" applyBorder="1" applyAlignment="1" applyProtection="1">
      <alignment horizontal="right"/>
      <protection/>
    </xf>
    <xf numFmtId="1" fontId="1" fillId="5" borderId="2" xfId="0" applyNumberFormat="1" applyFont="1" applyFill="1" applyBorder="1" applyAlignment="1" applyProtection="1">
      <alignment horizontal="right"/>
      <protection/>
    </xf>
    <xf numFmtId="1" fontId="1" fillId="6" borderId="2" xfId="0" applyNumberFormat="1" applyFont="1" applyFill="1" applyBorder="1" applyAlignment="1" applyProtection="1">
      <alignment horizontal="right"/>
      <protection/>
    </xf>
    <xf numFmtId="1" fontId="1" fillId="7" borderId="2" xfId="0" applyNumberFormat="1" applyFont="1" applyFill="1" applyBorder="1" applyAlignment="1" applyProtection="1">
      <alignment horizontal="right"/>
      <protection/>
    </xf>
    <xf numFmtId="1" fontId="1" fillId="8" borderId="2" xfId="0" applyNumberFormat="1" applyFont="1" applyFill="1" applyBorder="1" applyAlignment="1" applyProtection="1">
      <alignment horizontal="right"/>
      <protection/>
    </xf>
    <xf numFmtId="1" fontId="1" fillId="0" borderId="2" xfId="0" applyNumberFormat="1" applyFont="1" applyFill="1" applyBorder="1" applyAlignment="1" applyProtection="1">
      <alignment horizontal="right"/>
      <protection/>
    </xf>
    <xf numFmtId="2" fontId="3" fillId="0" borderId="2" xfId="0" applyNumberFormat="1" applyFont="1" applyFill="1" applyBorder="1" applyAlignment="1" applyProtection="1">
      <alignment/>
      <protection/>
    </xf>
    <xf numFmtId="0" fontId="3" fillId="0" borderId="2" xfId="0" applyFont="1" applyFill="1" applyBorder="1" applyAlignment="1" applyProtection="1">
      <alignment horizontal="center"/>
      <protection/>
    </xf>
    <xf numFmtId="0" fontId="3" fillId="0" borderId="2" xfId="0" applyFont="1" applyFill="1" applyBorder="1" applyAlignment="1" applyProtection="1">
      <alignment/>
      <protection/>
    </xf>
    <xf numFmtId="0" fontId="3" fillId="0" borderId="2" xfId="0" applyFont="1" applyFill="1" applyBorder="1" applyAlignment="1">
      <alignment/>
    </xf>
    <xf numFmtId="0" fontId="0" fillId="0" borderId="2" xfId="0" applyFont="1" applyFill="1" applyBorder="1" applyAlignment="1">
      <alignment/>
    </xf>
    <xf numFmtId="0" fontId="0" fillId="0" borderId="2" xfId="0" applyFont="1" applyBorder="1" applyAlignment="1">
      <alignment/>
    </xf>
    <xf numFmtId="174" fontId="2" fillId="3" borderId="0" xfId="0" applyNumberFormat="1" applyFont="1" applyFill="1" applyAlignment="1" applyProtection="1">
      <alignment horizontal="right"/>
      <protection/>
    </xf>
    <xf numFmtId="0" fontId="2" fillId="0" borderId="0" xfId="0" applyNumberFormat="1" applyFont="1" applyFill="1" applyBorder="1" applyAlignment="1" applyProtection="1">
      <alignment vertical="top"/>
      <protection/>
    </xf>
    <xf numFmtId="0" fontId="2" fillId="0" borderId="8" xfId="0" applyFont="1" applyFill="1" applyBorder="1" applyAlignment="1" applyProtection="1">
      <alignment horizontal="justify" wrapText="1"/>
      <protection/>
    </xf>
    <xf numFmtId="173" fontId="2" fillId="0" borderId="0" xfId="0" applyNumberFormat="1" applyFont="1" applyFill="1" applyBorder="1" applyAlignment="1" applyProtection="1">
      <alignment horizontal="center"/>
      <protection/>
    </xf>
    <xf numFmtId="10" fontId="2" fillId="0" borderId="9" xfId="0" applyNumberFormat="1" applyFont="1" applyFill="1" applyBorder="1" applyAlignment="1" applyProtection="1">
      <alignment horizontal="right"/>
      <protection/>
    </xf>
    <xf numFmtId="0" fontId="2" fillId="2" borderId="8" xfId="0" applyFont="1" applyFill="1" applyBorder="1" applyAlignment="1" applyProtection="1">
      <alignment horizontal="center"/>
      <protection/>
    </xf>
    <xf numFmtId="2" fontId="2" fillId="3" borderId="8" xfId="0" applyNumberFormat="1" applyFont="1" applyFill="1" applyBorder="1" applyAlignment="1" applyProtection="1">
      <alignment horizontal="right"/>
      <protection/>
    </xf>
    <xf numFmtId="0" fontId="2" fillId="3" borderId="8" xfId="0" applyFont="1" applyFill="1" applyBorder="1" applyAlignment="1" applyProtection="1">
      <alignment horizontal="right"/>
      <protection/>
    </xf>
    <xf numFmtId="0" fontId="0" fillId="0" borderId="0" xfId="0" applyFont="1" applyBorder="1" applyAlignment="1">
      <alignment/>
    </xf>
    <xf numFmtId="10" fontId="10" fillId="0" borderId="0" xfId="0" applyNumberFormat="1" applyFont="1" applyFill="1" applyBorder="1" applyAlignment="1" applyProtection="1">
      <alignment horizontal="right"/>
      <protection/>
    </xf>
    <xf numFmtId="10" fontId="10" fillId="3" borderId="0" xfId="0" applyNumberFormat="1" applyFont="1" applyFill="1" applyBorder="1" applyAlignment="1" applyProtection="1">
      <alignment horizontal="right"/>
      <protection/>
    </xf>
    <xf numFmtId="10" fontId="10" fillId="0" borderId="0" xfId="0" applyNumberFormat="1" applyFont="1" applyFill="1" applyAlignment="1" applyProtection="1">
      <alignment horizontal="right"/>
      <protection/>
    </xf>
    <xf numFmtId="10" fontId="10" fillId="3" borderId="0" xfId="0" applyNumberFormat="1" applyFont="1" applyFill="1" applyAlignment="1" applyProtection="1">
      <alignment horizontal="right"/>
      <protection/>
    </xf>
    <xf numFmtId="2" fontId="16" fillId="0" borderId="0" xfId="0" applyNumberFormat="1" applyFont="1" applyFill="1" applyBorder="1" applyAlignment="1" applyProtection="1">
      <alignment/>
      <protection/>
    </xf>
    <xf numFmtId="1" fontId="19" fillId="0" borderId="0" xfId="0" applyNumberFormat="1" applyFont="1" applyFill="1" applyBorder="1" applyAlignment="1" applyProtection="1">
      <alignment horizontal="right"/>
      <protection/>
    </xf>
    <xf numFmtId="0" fontId="16" fillId="0" borderId="0" xfId="0" applyFont="1" applyFill="1" applyBorder="1" applyAlignment="1" applyProtection="1">
      <alignment vertical="center"/>
      <protection/>
    </xf>
    <xf numFmtId="0" fontId="21" fillId="0" borderId="0" xfId="0" applyFont="1" applyFill="1" applyAlignment="1">
      <alignment/>
    </xf>
    <xf numFmtId="0" fontId="21" fillId="11" borderId="0" xfId="0" applyFont="1" applyFill="1" applyAlignment="1">
      <alignment/>
    </xf>
    <xf numFmtId="0" fontId="2" fillId="0" borderId="8"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2" fontId="2" fillId="0" borderId="29" xfId="0" applyNumberFormat="1" applyFont="1" applyFill="1" applyBorder="1" applyAlignment="1" applyProtection="1">
      <alignment horizontal="right"/>
      <protection/>
    </xf>
    <xf numFmtId="2" fontId="2" fillId="0" borderId="25" xfId="0" applyNumberFormat="1" applyFont="1" applyFill="1" applyBorder="1" applyAlignment="1" applyProtection="1">
      <alignment horizontal="right"/>
      <protection/>
    </xf>
    <xf numFmtId="1" fontId="9" fillId="7" borderId="25" xfId="0" applyNumberFormat="1" applyFont="1" applyFill="1" applyBorder="1" applyAlignment="1" applyProtection="1">
      <alignment/>
      <protection/>
    </xf>
    <xf numFmtId="1" fontId="1" fillId="8" borderId="25" xfId="0" applyNumberFormat="1" applyFont="1" applyFill="1" applyBorder="1" applyAlignment="1" applyProtection="1">
      <alignment/>
      <protection/>
    </xf>
    <xf numFmtId="1" fontId="9" fillId="4" borderId="0" xfId="0" applyNumberFormat="1" applyFont="1" applyFill="1" applyBorder="1" applyAlignment="1" applyProtection="1">
      <alignment/>
      <protection/>
    </xf>
    <xf numFmtId="1" fontId="9" fillId="5" borderId="0" xfId="0" applyNumberFormat="1" applyFont="1" applyFill="1" applyBorder="1" applyAlignment="1" applyProtection="1">
      <alignment/>
      <protection/>
    </xf>
    <xf numFmtId="0" fontId="5" fillId="0" borderId="8" xfId="0" applyFont="1" applyFill="1" applyBorder="1" applyAlignment="1" applyProtection="1">
      <alignment/>
      <protection/>
    </xf>
    <xf numFmtId="10" fontId="2" fillId="0" borderId="0" xfId="0" applyNumberFormat="1" applyFont="1" applyFill="1" applyAlignment="1">
      <alignment horizontal="right"/>
    </xf>
    <xf numFmtId="10" fontId="2" fillId="0" borderId="0" xfId="0" applyNumberFormat="1" applyFont="1" applyFill="1" applyBorder="1" applyAlignment="1">
      <alignment horizontal="right"/>
    </xf>
    <xf numFmtId="0" fontId="2" fillId="0" borderId="0" xfId="0" applyFont="1" applyBorder="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vertical="center"/>
      <protection/>
    </xf>
    <xf numFmtId="0" fontId="5" fillId="0" borderId="8" xfId="0" applyFont="1" applyBorder="1" applyAlignment="1" applyProtection="1">
      <alignment vertical="center"/>
      <protection/>
    </xf>
    <xf numFmtId="0" fontId="8" fillId="0" borderId="8" xfId="0" applyFont="1" applyBorder="1" applyAlignment="1" applyProtection="1">
      <alignment/>
      <protection/>
    </xf>
    <xf numFmtId="172" fontId="2" fillId="0" borderId="8" xfId="0" applyNumberFormat="1" applyFont="1" applyBorder="1" applyAlignment="1" applyProtection="1">
      <alignment/>
      <protection/>
    </xf>
    <xf numFmtId="9" fontId="2" fillId="3" borderId="0" xfId="0" applyNumberFormat="1" applyFont="1" applyFill="1" applyAlignment="1">
      <alignment/>
    </xf>
    <xf numFmtId="0" fontId="2" fillId="0" borderId="9" xfId="0" applyFont="1" applyBorder="1" applyAlignment="1" applyProtection="1">
      <alignment/>
      <protection/>
    </xf>
    <xf numFmtId="0" fontId="3" fillId="2" borderId="0" xfId="0" applyFont="1" applyFill="1" applyBorder="1" applyAlignment="1">
      <alignment/>
    </xf>
    <xf numFmtId="0" fontId="2" fillId="0" borderId="25" xfId="0" applyFont="1" applyBorder="1" applyAlignment="1" applyProtection="1">
      <alignment/>
      <protection/>
    </xf>
    <xf numFmtId="0" fontId="2" fillId="0" borderId="26" xfId="0" applyFont="1" applyBorder="1" applyAlignment="1" applyProtection="1">
      <alignment/>
      <protection/>
    </xf>
    <xf numFmtId="2" fontId="2" fillId="0" borderId="23" xfId="0" applyNumberFormat="1" applyFont="1" applyFill="1" applyBorder="1" applyAlignment="1" applyProtection="1">
      <alignment horizontal="center"/>
      <protection/>
    </xf>
    <xf numFmtId="0" fontId="10" fillId="0" borderId="8" xfId="0" applyFont="1" applyBorder="1" applyAlignment="1" applyProtection="1">
      <alignment horizontal="center"/>
      <protection/>
    </xf>
    <xf numFmtId="0" fontId="3" fillId="0" borderId="0" xfId="0" applyFont="1" applyFill="1" applyBorder="1" applyAlignment="1" applyProtection="1">
      <alignment/>
      <protection/>
    </xf>
    <xf numFmtId="172" fontId="8" fillId="0" borderId="8" xfId="0" applyNumberFormat="1" applyFont="1" applyBorder="1" applyAlignment="1" applyProtection="1">
      <alignment vertical="center"/>
      <protection/>
    </xf>
    <xf numFmtId="174" fontId="2" fillId="0" borderId="0" xfId="0" applyNumberFormat="1" applyFont="1" applyFill="1" applyAlignment="1" applyProtection="1">
      <alignment horizontal="right"/>
      <protection/>
    </xf>
    <xf numFmtId="0" fontId="2" fillId="0" borderId="24" xfId="0" applyFont="1" applyFill="1" applyBorder="1" applyAlignment="1" applyProtection="1">
      <alignment horizontal="center" vertical="center"/>
      <protection/>
    </xf>
    <xf numFmtId="172" fontId="2" fillId="0" borderId="26" xfId="0" applyNumberFormat="1" applyFont="1" applyBorder="1" applyAlignment="1" applyProtection="1">
      <alignment/>
      <protection/>
    </xf>
    <xf numFmtId="1" fontId="9" fillId="7" borderId="25" xfId="0" applyNumberFormat="1" applyFont="1" applyFill="1" applyBorder="1" applyAlignment="1" applyProtection="1">
      <alignment vertical="center"/>
      <protection/>
    </xf>
    <xf numFmtId="1" fontId="1" fillId="8" borderId="25" xfId="0" applyNumberFormat="1" applyFont="1" applyFill="1" applyBorder="1" applyAlignment="1" applyProtection="1">
      <alignment vertical="center"/>
      <protection/>
    </xf>
    <xf numFmtId="1" fontId="1" fillId="8" borderId="25" xfId="0" applyNumberFormat="1" applyFont="1" applyFill="1" applyBorder="1" applyAlignment="1" applyProtection="1">
      <alignment horizontal="center"/>
      <protection/>
    </xf>
    <xf numFmtId="0" fontId="3" fillId="0" borderId="25" xfId="0" applyFont="1" applyFill="1" applyBorder="1" applyAlignment="1" applyProtection="1">
      <alignment/>
      <protection/>
    </xf>
    <xf numFmtId="172" fontId="8" fillId="0" borderId="8" xfId="0" applyNumberFormat="1" applyFont="1" applyBorder="1" applyAlignment="1" applyProtection="1">
      <alignment/>
      <protection/>
    </xf>
    <xf numFmtId="2" fontId="2" fillId="3" borderId="0" xfId="0" applyNumberFormat="1" applyFont="1" applyFill="1" applyAlignment="1" applyProtection="1">
      <alignment/>
      <protection/>
    </xf>
    <xf numFmtId="0" fontId="2" fillId="3" borderId="0" xfId="0" applyFont="1" applyFill="1" applyBorder="1" applyAlignment="1" applyProtection="1">
      <alignment horizontal="center"/>
      <protection/>
    </xf>
    <xf numFmtId="2" fontId="2" fillId="3" borderId="0" xfId="0" applyNumberFormat="1" applyFont="1" applyFill="1" applyBorder="1" applyAlignment="1" applyProtection="1">
      <alignment/>
      <protection/>
    </xf>
    <xf numFmtId="0" fontId="5" fillId="0" borderId="8" xfId="0" applyFont="1" applyBorder="1" applyAlignment="1" applyProtection="1">
      <alignment/>
      <protection/>
    </xf>
    <xf numFmtId="174" fontId="2" fillId="3" borderId="0" xfId="0" applyNumberFormat="1" applyFont="1" applyFill="1" applyBorder="1" applyAlignment="1" applyProtection="1">
      <alignment horizontal="right" vertical="center"/>
      <protection/>
    </xf>
    <xf numFmtId="0" fontId="5" fillId="0" borderId="8" xfId="0" applyFont="1" applyBorder="1" applyAlignment="1" applyProtection="1">
      <alignment/>
      <protection/>
    </xf>
    <xf numFmtId="0" fontId="8" fillId="0" borderId="8" xfId="0" applyFont="1" applyBorder="1" applyAlignment="1" applyProtection="1">
      <alignment/>
      <protection/>
    </xf>
    <xf numFmtId="174" fontId="2" fillId="10" borderId="0" xfId="0" applyNumberFormat="1" applyFont="1" applyFill="1" applyBorder="1" applyAlignment="1" applyProtection="1">
      <alignment horizontal="right"/>
      <protection/>
    </xf>
    <xf numFmtId="0" fontId="2" fillId="0" borderId="26" xfId="0" applyFont="1" applyBorder="1" applyAlignment="1" applyProtection="1">
      <alignment/>
      <protection/>
    </xf>
    <xf numFmtId="174" fontId="2" fillId="3" borderId="25" xfId="0" applyNumberFormat="1" applyFont="1" applyFill="1" applyBorder="1" applyAlignment="1" applyProtection="1">
      <alignment horizontal="right"/>
      <protection/>
    </xf>
    <xf numFmtId="1" fontId="1" fillId="7" borderId="25" xfId="0" applyNumberFormat="1" applyFont="1" applyFill="1" applyBorder="1" applyAlignment="1" applyProtection="1">
      <alignment horizontal="right"/>
      <protection/>
    </xf>
    <xf numFmtId="1" fontId="1" fillId="0" borderId="25" xfId="0" applyNumberFormat="1" applyFont="1" applyFill="1" applyBorder="1" applyAlignment="1">
      <alignment horizontal="right"/>
    </xf>
    <xf numFmtId="0" fontId="3" fillId="0" borderId="25" xfId="0" applyFont="1" applyFill="1" applyBorder="1" applyAlignment="1">
      <alignment horizontal="center"/>
    </xf>
    <xf numFmtId="0" fontId="2" fillId="0" borderId="8" xfId="0" applyFont="1" applyBorder="1" applyAlignment="1" applyProtection="1">
      <alignment/>
      <protection/>
    </xf>
    <xf numFmtId="0" fontId="2" fillId="0" borderId="0" xfId="0" applyFont="1" applyBorder="1" applyAlignment="1" applyProtection="1">
      <alignment/>
      <protection/>
    </xf>
    <xf numFmtId="172" fontId="5" fillId="0" borderId="8" xfId="0" applyNumberFormat="1" applyFont="1" applyBorder="1" applyAlignment="1" applyProtection="1">
      <alignment/>
      <protection/>
    </xf>
    <xf numFmtId="172" fontId="5" fillId="0" borderId="8" xfId="0" applyNumberFormat="1" applyFont="1" applyBorder="1" applyAlignment="1" applyProtection="1">
      <alignment/>
      <protection/>
    </xf>
    <xf numFmtId="172" fontId="2" fillId="0" borderId="8" xfId="0" applyNumberFormat="1" applyFont="1" applyBorder="1" applyAlignment="1" applyProtection="1">
      <alignment vertical="center"/>
      <protection/>
    </xf>
    <xf numFmtId="49" fontId="2" fillId="0" borderId="8" xfId="0" applyNumberFormat="1" applyFont="1" applyBorder="1" applyAlignment="1" applyProtection="1">
      <alignment/>
      <protection/>
    </xf>
    <xf numFmtId="0" fontId="2" fillId="2" borderId="0" xfId="0" applyFont="1" applyFill="1" applyBorder="1" applyAlignment="1" applyProtection="1">
      <alignment horizontal="left"/>
      <protection/>
    </xf>
    <xf numFmtId="49" fontId="2" fillId="0" borderId="8" xfId="0" applyNumberFormat="1" applyFont="1" applyFill="1" applyBorder="1" applyAlignment="1" applyProtection="1">
      <alignment horizontal="justify" wrapText="1"/>
      <protection/>
    </xf>
    <xf numFmtId="0" fontId="2" fillId="0" borderId="25" xfId="0" applyFont="1" applyFill="1" applyBorder="1" applyAlignment="1" applyProtection="1">
      <alignment/>
      <protection/>
    </xf>
    <xf numFmtId="49" fontId="2" fillId="0" borderId="26" xfId="0" applyNumberFormat="1" applyFont="1" applyBorder="1" applyAlignment="1" applyProtection="1">
      <alignment/>
      <protection/>
    </xf>
    <xf numFmtId="0" fontId="2" fillId="2" borderId="25" xfId="0" applyFont="1" applyFill="1" applyBorder="1" applyAlignment="1" applyProtection="1">
      <alignment horizontal="left"/>
      <protection/>
    </xf>
    <xf numFmtId="2" fontId="2" fillId="0" borderId="28" xfId="0" applyNumberFormat="1" applyFont="1" applyFill="1" applyBorder="1" applyAlignment="1" applyProtection="1">
      <alignment horizontal="right"/>
      <protection/>
    </xf>
    <xf numFmtId="2" fontId="2" fillId="0" borderId="27" xfId="0" applyNumberFormat="1" applyFont="1" applyFill="1" applyBorder="1" applyAlignment="1" applyProtection="1">
      <alignment horizontal="right"/>
      <protection/>
    </xf>
    <xf numFmtId="173" fontId="2" fillId="0" borderId="25" xfId="0" applyNumberFormat="1" applyFont="1" applyFill="1" applyBorder="1" applyAlignment="1" applyProtection="1">
      <alignment horizontal="center"/>
      <protection/>
    </xf>
    <xf numFmtId="2" fontId="2" fillId="0" borderId="25" xfId="0" applyNumberFormat="1" applyFont="1" applyFill="1" applyBorder="1" applyAlignment="1" applyProtection="1">
      <alignment horizontal="right"/>
      <protection/>
    </xf>
    <xf numFmtId="0" fontId="0" fillId="4" borderId="25" xfId="0" applyFont="1" applyFill="1" applyBorder="1" applyAlignment="1">
      <alignment/>
    </xf>
    <xf numFmtId="0" fontId="0" fillId="5" borderId="25" xfId="0" applyFont="1" applyFill="1" applyBorder="1" applyAlignment="1">
      <alignment/>
    </xf>
    <xf numFmtId="1" fontId="1" fillId="6" borderId="25" xfId="0" applyNumberFormat="1" applyFont="1" applyFill="1" applyBorder="1" applyAlignment="1" applyProtection="1">
      <alignment vertical="center"/>
      <protection/>
    </xf>
    <xf numFmtId="1" fontId="1" fillId="7" borderId="25" xfId="0" applyNumberFormat="1" applyFont="1" applyFill="1" applyBorder="1" applyAlignment="1" applyProtection="1">
      <alignment vertical="center"/>
      <protection/>
    </xf>
    <xf numFmtId="2" fontId="3" fillId="0" borderId="25" xfId="0" applyNumberFormat="1" applyFont="1" applyFill="1" applyBorder="1" applyAlignment="1" applyProtection="1">
      <alignment/>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protection/>
    </xf>
    <xf numFmtId="0" fontId="0" fillId="0" borderId="25" xfId="0" applyFont="1" applyFill="1" applyBorder="1" applyAlignment="1">
      <alignment/>
    </xf>
    <xf numFmtId="0" fontId="0" fillId="0" borderId="25" xfId="0" applyFont="1" applyBorder="1" applyAlignment="1">
      <alignment/>
    </xf>
    <xf numFmtId="172" fontId="2" fillId="0" borderId="8" xfId="0" applyNumberFormat="1" applyFont="1" applyBorder="1" applyAlignment="1" applyProtection="1">
      <alignment/>
      <protection/>
    </xf>
    <xf numFmtId="0" fontId="0" fillId="0" borderId="0" xfId="0" applyFont="1" applyBorder="1" applyAlignment="1">
      <alignment/>
    </xf>
    <xf numFmtId="0" fontId="2" fillId="0" borderId="0" xfId="0" applyFont="1" applyFill="1" applyBorder="1" applyAlignment="1" applyProtection="1">
      <alignment/>
      <protection/>
    </xf>
    <xf numFmtId="2" fontId="2" fillId="0" borderId="9" xfId="0" applyNumberFormat="1" applyFont="1" applyFill="1" applyBorder="1" applyAlignment="1" applyProtection="1">
      <alignment horizontal="right"/>
      <protection/>
    </xf>
    <xf numFmtId="2" fontId="2" fillId="0" borderId="15" xfId="0" applyNumberFormat="1" applyFont="1" applyFill="1" applyBorder="1" applyAlignment="1" applyProtection="1">
      <alignment horizontal="right"/>
      <protection/>
    </xf>
    <xf numFmtId="2" fontId="2" fillId="0" borderId="0" xfId="0" applyNumberFormat="1" applyFont="1" applyFill="1" applyBorder="1" applyAlignment="1" applyProtection="1">
      <alignment horizontal="center"/>
      <protection/>
    </xf>
    <xf numFmtId="2" fontId="2" fillId="0" borderId="8" xfId="0" applyNumberFormat="1" applyFont="1" applyFill="1" applyBorder="1" applyAlignment="1" applyProtection="1">
      <alignment horizontal="right"/>
      <protection/>
    </xf>
    <xf numFmtId="2" fontId="2" fillId="0" borderId="16" xfId="0" applyNumberFormat="1" applyFont="1" applyFill="1" applyBorder="1" applyAlignment="1" applyProtection="1">
      <alignment horizontal="right"/>
      <protection/>
    </xf>
    <xf numFmtId="0" fontId="0" fillId="4" borderId="0" xfId="0" applyFont="1" applyFill="1" applyBorder="1" applyAlignment="1">
      <alignment/>
    </xf>
    <xf numFmtId="0" fontId="0" fillId="5" borderId="0" xfId="0" applyFont="1" applyFill="1" applyBorder="1" applyAlignment="1">
      <alignment/>
    </xf>
    <xf numFmtId="2" fontId="3" fillId="0" borderId="0" xfId="0" applyNumberFormat="1" applyFont="1" applyFill="1" applyBorder="1" applyAlignment="1" applyProtection="1">
      <alignment/>
      <protection/>
    </xf>
    <xf numFmtId="0" fontId="0" fillId="0" borderId="0" xfId="0" applyFont="1" applyFill="1" applyBorder="1" applyAlignment="1">
      <alignment/>
    </xf>
    <xf numFmtId="1" fontId="1" fillId="8" borderId="0" xfId="0" applyNumberFormat="1" applyFont="1" applyFill="1" applyBorder="1" applyAlignment="1" applyProtection="1">
      <alignment/>
      <protection/>
    </xf>
    <xf numFmtId="172" fontId="5" fillId="0" borderId="8" xfId="0" applyNumberFormat="1" applyFont="1" applyBorder="1" applyAlignment="1" applyProtection="1">
      <alignment horizontal="justify" vertical="center" wrapText="1"/>
      <protection/>
    </xf>
    <xf numFmtId="0" fontId="0" fillId="0" borderId="8" xfId="0" applyFont="1" applyBorder="1" applyAlignment="1">
      <alignment horizontal="justify" vertical="center" wrapText="1"/>
    </xf>
    <xf numFmtId="0" fontId="2" fillId="0" borderId="0" xfId="0" applyNumberFormat="1" applyFont="1" applyBorder="1" applyAlignment="1" applyProtection="1">
      <alignment/>
      <protection/>
    </xf>
    <xf numFmtId="172" fontId="8" fillId="0" borderId="8" xfId="0" applyNumberFormat="1" applyFont="1" applyBorder="1" applyAlignment="1" applyProtection="1">
      <alignment/>
      <protection/>
    </xf>
    <xf numFmtId="2" fontId="6" fillId="0" borderId="0" xfId="0" applyNumberFormat="1" applyFont="1" applyFill="1" applyBorder="1" applyAlignment="1" applyProtection="1">
      <alignment horizontal="center"/>
      <protection/>
    </xf>
    <xf numFmtId="172" fontId="2" fillId="0" borderId="26" xfId="0" applyNumberFormat="1" applyFont="1" applyFill="1" applyBorder="1" applyAlignment="1" applyProtection="1">
      <alignment/>
      <protection/>
    </xf>
    <xf numFmtId="0" fontId="2" fillId="0" borderId="27" xfId="0" applyFont="1" applyFill="1" applyBorder="1" applyAlignment="1" applyProtection="1">
      <alignment/>
      <protection/>
    </xf>
    <xf numFmtId="174" fontId="2" fillId="0" borderId="25" xfId="0" applyNumberFormat="1" applyFont="1" applyFill="1" applyBorder="1" applyAlignment="1" applyProtection="1">
      <alignment horizontal="right"/>
      <protection/>
    </xf>
    <xf numFmtId="2" fontId="2" fillId="0" borderId="25" xfId="0" applyNumberFormat="1" applyFont="1" applyFill="1" applyBorder="1" applyAlignment="1" applyProtection="1">
      <alignment horizontal="center"/>
      <protection/>
    </xf>
    <xf numFmtId="1" fontId="1" fillId="4" borderId="25" xfId="0" applyNumberFormat="1" applyFont="1" applyFill="1" applyBorder="1" applyAlignment="1">
      <alignment/>
    </xf>
    <xf numFmtId="1" fontId="1" fillId="5" borderId="25" xfId="0" applyNumberFormat="1" applyFont="1" applyFill="1" applyBorder="1" applyAlignment="1">
      <alignment/>
    </xf>
    <xf numFmtId="1" fontId="1" fillId="6" borderId="25" xfId="0" applyNumberFormat="1" applyFont="1" applyFill="1" applyBorder="1" applyAlignment="1">
      <alignment/>
    </xf>
    <xf numFmtId="0" fontId="6" fillId="0" borderId="25" xfId="0" applyFont="1" applyFill="1" applyBorder="1" applyAlignment="1" applyProtection="1">
      <alignment horizontal="center"/>
      <protection/>
    </xf>
    <xf numFmtId="0" fontId="6" fillId="0" borderId="25" xfId="0" applyFont="1" applyFill="1" applyBorder="1" applyAlignment="1" applyProtection="1">
      <alignment/>
      <protection/>
    </xf>
    <xf numFmtId="2" fontId="6" fillId="0" borderId="25" xfId="0" applyNumberFormat="1" applyFont="1" applyFill="1" applyBorder="1" applyAlignment="1" applyProtection="1">
      <alignment horizontal="center"/>
      <protection/>
    </xf>
    <xf numFmtId="0" fontId="0" fillId="10" borderId="25" xfId="0" applyFont="1" applyFill="1" applyBorder="1" applyAlignment="1">
      <alignment/>
    </xf>
    <xf numFmtId="0" fontId="0" fillId="10" borderId="0" xfId="0" applyFont="1" applyFill="1" applyBorder="1" applyAlignment="1">
      <alignment/>
    </xf>
    <xf numFmtId="0" fontId="2" fillId="0" borderId="0" xfId="0" applyFont="1" applyFill="1" applyBorder="1" applyAlignment="1" applyProtection="1">
      <alignment/>
      <protection/>
    </xf>
    <xf numFmtId="174" fontId="2"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horizontal="right"/>
      <protection/>
    </xf>
    <xf numFmtId="1" fontId="1" fillId="4" borderId="0" xfId="0" applyNumberFormat="1" applyFont="1" applyFill="1" applyBorder="1" applyAlignment="1" applyProtection="1">
      <alignment horizontal="right"/>
      <protection/>
    </xf>
    <xf numFmtId="1" fontId="1" fillId="6" borderId="0" xfId="0" applyNumberFormat="1" applyFont="1" applyFill="1" applyBorder="1" applyAlignment="1">
      <alignment/>
    </xf>
    <xf numFmtId="0" fontId="2" fillId="0" borderId="9" xfId="0" applyFont="1" applyFill="1" applyBorder="1" applyAlignment="1">
      <alignment/>
    </xf>
    <xf numFmtId="2" fontId="2" fillId="0" borderId="8" xfId="0" applyNumberFormat="1" applyFont="1" applyBorder="1" applyAlignment="1" applyProtection="1">
      <alignment/>
      <protection/>
    </xf>
    <xf numFmtId="0" fontId="2" fillId="0" borderId="0" xfId="0" applyFont="1" applyFill="1" applyAlignment="1" applyProtection="1">
      <alignment/>
      <protection/>
    </xf>
    <xf numFmtId="172" fontId="2" fillId="2" borderId="0" xfId="0" applyNumberFormat="1" applyFont="1" applyFill="1" applyAlignment="1" applyProtection="1">
      <alignment/>
      <protection/>
    </xf>
    <xf numFmtId="2" fontId="2" fillId="2" borderId="0" xfId="0" applyNumberFormat="1" applyFont="1" applyFill="1" applyAlignment="1" applyProtection="1">
      <alignment horizontal="right"/>
      <protection/>
    </xf>
    <xf numFmtId="0" fontId="2" fillId="3" borderId="0" xfId="0" applyFont="1" applyFill="1" applyAlignment="1" applyProtection="1">
      <alignment/>
      <protection/>
    </xf>
    <xf numFmtId="174" fontId="2" fillId="3" borderId="0" xfId="0" applyNumberFormat="1" applyFont="1" applyFill="1" applyAlignment="1" applyProtection="1">
      <alignment horizontal="left"/>
      <protection/>
    </xf>
    <xf numFmtId="0" fontId="2" fillId="0" borderId="0" xfId="0" applyFont="1" applyFill="1" applyAlignment="1">
      <alignment horizontal="center"/>
    </xf>
    <xf numFmtId="172" fontId="2" fillId="0" borderId="0" xfId="0" applyNumberFormat="1" applyFont="1" applyFill="1" applyBorder="1" applyAlignment="1" applyProtection="1">
      <alignment/>
      <protection/>
    </xf>
    <xf numFmtId="49" fontId="2" fillId="0" borderId="8" xfId="0" applyNumberFormat="1" applyFont="1" applyFill="1" applyBorder="1" applyAlignment="1" applyProtection="1">
      <alignment wrapText="1"/>
      <protection/>
    </xf>
    <xf numFmtId="172" fontId="2" fillId="0" borderId="0" xfId="0" applyNumberFormat="1" applyFont="1" applyFill="1" applyAlignment="1" applyProtection="1">
      <alignment/>
      <protection/>
    </xf>
    <xf numFmtId="174" fontId="2" fillId="4" borderId="0" xfId="0" applyNumberFormat="1" applyFont="1" applyFill="1" applyAlignment="1" applyProtection="1">
      <alignment horizontal="left"/>
      <protection/>
    </xf>
    <xf numFmtId="0" fontId="2" fillId="4" borderId="0" xfId="0" applyFont="1" applyFill="1" applyAlignment="1" applyProtection="1">
      <alignment/>
      <protection/>
    </xf>
    <xf numFmtId="173" fontId="2" fillId="0" borderId="0" xfId="0" applyNumberFormat="1" applyFont="1" applyFill="1" applyAlignment="1">
      <alignment horizontal="center"/>
    </xf>
    <xf numFmtId="0" fontId="0" fillId="4" borderId="0" xfId="0" applyFont="1" applyFill="1" applyAlignment="1">
      <alignment/>
    </xf>
    <xf numFmtId="174" fontId="2" fillId="3" borderId="0" xfId="0" applyNumberFormat="1" applyFont="1" applyFill="1" applyBorder="1" applyAlignment="1" applyProtection="1">
      <alignment horizontal="left"/>
      <protection/>
    </xf>
    <xf numFmtId="172" fontId="5" fillId="0" borderId="8" xfId="0" applyNumberFormat="1" applyFont="1" applyBorder="1" applyAlignment="1" applyProtection="1">
      <alignment vertical="center"/>
      <protection/>
    </xf>
    <xf numFmtId="2" fontId="2" fillId="0" borderId="0" xfId="0" applyNumberFormat="1" applyFont="1" applyFill="1" applyBorder="1" applyAlignment="1" applyProtection="1">
      <alignment horizontal="left"/>
      <protection/>
    </xf>
    <xf numFmtId="0" fontId="3" fillId="0" borderId="8" xfId="0" applyFont="1" applyFill="1" applyBorder="1" applyAlignment="1">
      <alignment horizontal="center"/>
    </xf>
    <xf numFmtId="0" fontId="2" fillId="0" borderId="0" xfId="0" applyFont="1" applyBorder="1" applyAlignment="1" applyProtection="1">
      <alignment horizontal="left" vertical="top"/>
      <protection/>
    </xf>
    <xf numFmtId="172" fontId="8" fillId="0" borderId="8" xfId="0" applyNumberFormat="1" applyFont="1" applyBorder="1" applyAlignment="1" applyProtection="1">
      <alignment horizontal="justify" vertical="top" wrapText="1"/>
      <protection/>
    </xf>
    <xf numFmtId="0" fontId="2" fillId="0" borderId="8" xfId="0" applyFont="1" applyFill="1" applyBorder="1" applyAlignment="1">
      <alignment horizontal="center"/>
    </xf>
    <xf numFmtId="172" fontId="8" fillId="0" borderId="8" xfId="0" applyNumberFormat="1" applyFont="1" applyBorder="1" applyAlignment="1" applyProtection="1">
      <alignment horizontal="justify" vertical="center" wrapText="1"/>
      <protection/>
    </xf>
    <xf numFmtId="0" fontId="2" fillId="0" borderId="0" xfId="0" applyFont="1" applyBorder="1" applyAlignment="1" applyProtection="1">
      <alignment horizontal="center" vertical="top"/>
      <protection/>
    </xf>
    <xf numFmtId="0" fontId="2" fillId="3" borderId="15" xfId="0" applyFont="1" applyFill="1" applyBorder="1" applyAlignment="1" applyProtection="1">
      <alignment horizontal="right"/>
      <protection/>
    </xf>
    <xf numFmtId="1" fontId="1" fillId="4" borderId="0" xfId="0" applyNumberFormat="1" applyFont="1" applyFill="1" applyBorder="1" applyAlignment="1">
      <alignment/>
    </xf>
    <xf numFmtId="1" fontId="1" fillId="5" borderId="0" xfId="0" applyNumberFormat="1" applyFont="1" applyFill="1" applyBorder="1" applyAlignment="1">
      <alignment/>
    </xf>
    <xf numFmtId="1" fontId="9" fillId="7" borderId="0" xfId="0" applyNumberFormat="1" applyFont="1" applyFill="1" applyBorder="1" applyAlignment="1">
      <alignment/>
    </xf>
    <xf numFmtId="1" fontId="1" fillId="8" borderId="0" xfId="0" applyNumberFormat="1" applyFont="1" applyFill="1" applyBorder="1" applyAlignment="1">
      <alignment/>
    </xf>
    <xf numFmtId="172" fontId="8" fillId="0" borderId="8" xfId="0" applyNumberFormat="1" applyFont="1" applyBorder="1" applyAlignment="1" applyProtection="1">
      <alignment vertical="center" wrapText="1"/>
      <protection/>
    </xf>
    <xf numFmtId="0" fontId="2" fillId="0" borderId="24" xfId="0" applyFont="1" applyFill="1" applyBorder="1" applyAlignment="1" applyProtection="1">
      <alignment horizontal="center" vertical="top"/>
      <protection/>
    </xf>
    <xf numFmtId="0" fontId="2" fillId="0" borderId="25" xfId="0" applyFont="1" applyBorder="1" applyAlignment="1" applyProtection="1">
      <alignment horizontal="center" vertical="top"/>
      <protection/>
    </xf>
    <xf numFmtId="172" fontId="8" fillId="0" borderId="26" xfId="0" applyNumberFormat="1" applyFont="1" applyBorder="1" applyAlignment="1" applyProtection="1">
      <alignment horizontal="justify" vertical="center" wrapText="1"/>
      <protection/>
    </xf>
    <xf numFmtId="0" fontId="2" fillId="2" borderId="27" xfId="0" applyFont="1" applyFill="1" applyBorder="1" applyAlignment="1" applyProtection="1">
      <alignment/>
      <protection/>
    </xf>
    <xf numFmtId="0" fontId="2" fillId="2" borderId="25" xfId="0" applyFont="1" applyFill="1" applyBorder="1" applyAlignment="1" applyProtection="1">
      <alignment/>
      <protection/>
    </xf>
    <xf numFmtId="0" fontId="2" fillId="0" borderId="25" xfId="0" applyFont="1" applyFill="1" applyBorder="1" applyAlignment="1">
      <alignment horizontal="center"/>
    </xf>
    <xf numFmtId="0" fontId="0" fillId="0" borderId="0" xfId="0" applyFont="1" applyBorder="1" applyAlignment="1">
      <alignment horizontal="justify" vertical="center" wrapText="1"/>
    </xf>
    <xf numFmtId="0" fontId="3" fillId="0" borderId="0" xfId="0" applyFont="1" applyFill="1" applyBorder="1" applyAlignment="1">
      <alignment/>
    </xf>
    <xf numFmtId="10" fontId="0" fillId="0" borderId="0" xfId="0" applyNumberFormat="1" applyFont="1" applyBorder="1" applyAlignment="1">
      <alignment horizontal="right"/>
    </xf>
    <xf numFmtId="0" fontId="0" fillId="2" borderId="0" xfId="0" applyFont="1" applyFill="1" applyBorder="1" applyAlignment="1">
      <alignment/>
    </xf>
    <xf numFmtId="0" fontId="0" fillId="3" borderId="0" xfId="0" applyFont="1" applyFill="1" applyBorder="1" applyAlignment="1">
      <alignment/>
    </xf>
    <xf numFmtId="172" fontId="8" fillId="0" borderId="0" xfId="0" applyNumberFormat="1" applyFont="1" applyBorder="1" applyAlignment="1" applyProtection="1">
      <alignment vertical="top" wrapText="1"/>
      <protection/>
    </xf>
    <xf numFmtId="0" fontId="2" fillId="2" borderId="0" xfId="0" applyFont="1" applyFill="1" applyBorder="1" applyAlignment="1" applyProtection="1">
      <alignment vertical="top"/>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top"/>
      <protection/>
    </xf>
    <xf numFmtId="0" fontId="2" fillId="0" borderId="0" xfId="0" applyFont="1" applyBorder="1" applyAlignment="1">
      <alignment vertical="top"/>
    </xf>
    <xf numFmtId="2" fontId="2" fillId="0" borderId="0" xfId="0" applyNumberFormat="1" applyFont="1" applyFill="1" applyBorder="1" applyAlignment="1" applyProtection="1">
      <alignment horizontal="right" vertical="top"/>
      <protection/>
    </xf>
    <xf numFmtId="2" fontId="2" fillId="4" borderId="0" xfId="0" applyNumberFormat="1" applyFont="1" applyFill="1" applyBorder="1" applyAlignment="1" applyProtection="1">
      <alignment horizontal="right" vertical="top"/>
      <protection/>
    </xf>
    <xf numFmtId="2" fontId="2" fillId="5" borderId="0" xfId="0" applyNumberFormat="1" applyFont="1" applyFill="1" applyBorder="1" applyAlignment="1" applyProtection="1">
      <alignment horizontal="right" vertical="top"/>
      <protection/>
    </xf>
    <xf numFmtId="1" fontId="1" fillId="7" borderId="0" xfId="0" applyNumberFormat="1" applyFont="1" applyFill="1" applyBorder="1" applyAlignment="1" applyProtection="1">
      <alignment horizontal="right"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2" fontId="23" fillId="9" borderId="11" xfId="0" applyNumberFormat="1" applyFont="1" applyFill="1" applyBorder="1" applyAlignment="1" applyProtection="1">
      <alignment horizontal="center"/>
      <protection/>
    </xf>
    <xf numFmtId="0" fontId="23" fillId="9" borderId="11" xfId="0" applyFont="1" applyFill="1" applyBorder="1" applyAlignment="1" applyProtection="1">
      <alignment horizontal="center"/>
      <protection/>
    </xf>
    <xf numFmtId="2" fontId="23" fillId="9" borderId="33" xfId="0" applyNumberFormat="1" applyFont="1" applyFill="1" applyBorder="1" applyAlignment="1" applyProtection="1">
      <alignment horizontal="center"/>
      <protection/>
    </xf>
    <xf numFmtId="0" fontId="23" fillId="9" borderId="33" xfId="0" applyFont="1" applyFill="1" applyBorder="1" applyAlignment="1" applyProtection="1">
      <alignment horizontal="center"/>
      <protection/>
    </xf>
    <xf numFmtId="0" fontId="23" fillId="9" borderId="4" xfId="0" applyFont="1" applyFill="1" applyBorder="1" applyAlignment="1" applyProtection="1">
      <alignment horizontal="center"/>
      <protection/>
    </xf>
    <xf numFmtId="0" fontId="23" fillId="9" borderId="22" xfId="0" applyFont="1" applyFill="1" applyBorder="1" applyAlignment="1" applyProtection="1">
      <alignment horizontal="center"/>
      <protection/>
    </xf>
    <xf numFmtId="2" fontId="23" fillId="9" borderId="4" xfId="0" applyNumberFormat="1" applyFont="1" applyFill="1" applyBorder="1" applyAlignment="1" applyProtection="1">
      <alignment wrapText="1"/>
      <protection/>
    </xf>
    <xf numFmtId="177" fontId="23" fillId="9" borderId="4" xfId="0" applyNumberFormat="1" applyFont="1" applyFill="1" applyBorder="1" applyAlignment="1" applyProtection="1">
      <alignment horizontal="center"/>
      <protection/>
    </xf>
    <xf numFmtId="2" fontId="23" fillId="9" borderId="4" xfId="0" applyNumberFormat="1" applyFont="1" applyFill="1" applyBorder="1" applyAlignment="1" applyProtection="1">
      <alignment horizontal="center"/>
      <protection/>
    </xf>
    <xf numFmtId="2" fontId="23" fillId="9" borderId="6" xfId="0" applyNumberFormat="1" applyFont="1" applyFill="1" applyBorder="1" applyAlignment="1" applyProtection="1">
      <alignment horizontal="center"/>
      <protection/>
    </xf>
    <xf numFmtId="2" fontId="23" fillId="9" borderId="11" xfId="0" applyNumberFormat="1" applyFont="1" applyFill="1" applyBorder="1" applyAlignment="1" applyProtection="1">
      <alignment/>
      <protection/>
    </xf>
    <xf numFmtId="2" fontId="23" fillId="9" borderId="13" xfId="0" applyNumberFormat="1" applyFont="1" applyFill="1" applyBorder="1" applyAlignment="1" applyProtection="1">
      <alignment horizontal="center"/>
      <protection/>
    </xf>
    <xf numFmtId="2" fontId="23" fillId="9" borderId="33" xfId="0" applyNumberFormat="1" applyFont="1" applyFill="1" applyBorder="1" applyAlignment="1" applyProtection="1">
      <alignment/>
      <protection/>
    </xf>
    <xf numFmtId="0" fontId="23" fillId="9" borderId="33" xfId="0" applyFont="1" applyFill="1" applyBorder="1" applyAlignment="1" applyProtection="1">
      <alignment/>
      <protection/>
    </xf>
    <xf numFmtId="2" fontId="23" fillId="9" borderId="22" xfId="0" applyNumberFormat="1" applyFont="1" applyFill="1" applyBorder="1" applyAlignment="1" applyProtection="1">
      <alignment horizontal="center"/>
      <protection/>
    </xf>
    <xf numFmtId="0" fontId="23" fillId="9" borderId="11" xfId="0" applyFont="1" applyFill="1" applyBorder="1" applyAlignment="1" applyProtection="1">
      <alignment/>
      <protection/>
    </xf>
    <xf numFmtId="2" fontId="23" fillId="9" borderId="8" xfId="0" applyNumberFormat="1" applyFont="1" applyFill="1" applyBorder="1" applyAlignment="1" applyProtection="1">
      <alignment/>
      <protection/>
    </xf>
    <xf numFmtId="0" fontId="23" fillId="9" borderId="8" xfId="0" applyFont="1" applyFill="1" applyBorder="1" applyAlignment="1" applyProtection="1">
      <alignment horizontal="center"/>
      <protection/>
    </xf>
    <xf numFmtId="2" fontId="23" fillId="9" borderId="8" xfId="0" applyNumberFormat="1" applyFont="1" applyFill="1" applyBorder="1" applyAlignment="1" applyProtection="1">
      <alignment horizontal="center"/>
      <protection/>
    </xf>
    <xf numFmtId="2" fontId="23" fillId="9" borderId="15" xfId="0" applyNumberFormat="1" applyFont="1" applyFill="1" applyBorder="1" applyAlignment="1" applyProtection="1">
      <alignment horizontal="center"/>
      <protection/>
    </xf>
    <xf numFmtId="0" fontId="0" fillId="9" borderId="33" xfId="0" applyFont="1" applyFill="1" applyBorder="1" applyAlignment="1">
      <alignment/>
    </xf>
    <xf numFmtId="0" fontId="23" fillId="9" borderId="8" xfId="0" applyFont="1" applyFill="1" applyBorder="1" applyAlignment="1" applyProtection="1">
      <alignment/>
      <protection/>
    </xf>
    <xf numFmtId="0" fontId="23" fillId="9" borderId="33" xfId="0" applyFont="1" applyFill="1" applyBorder="1" applyAlignment="1">
      <alignment/>
    </xf>
    <xf numFmtId="0" fontId="23" fillId="9" borderId="22" xfId="0" applyFont="1" applyFill="1" applyBorder="1" applyAlignment="1">
      <alignment/>
    </xf>
    <xf numFmtId="2" fontId="23" fillId="9" borderId="4" xfId="0" applyNumberFormat="1" applyFont="1" applyFill="1" applyBorder="1" applyAlignment="1" applyProtection="1">
      <alignment/>
      <protection/>
    </xf>
    <xf numFmtId="0" fontId="23" fillId="9" borderId="4" xfId="0" applyFont="1" applyFill="1" applyBorder="1" applyAlignment="1">
      <alignment horizontal="center"/>
    </xf>
    <xf numFmtId="0" fontId="23" fillId="9" borderId="8" xfId="0" applyFont="1" applyFill="1" applyBorder="1" applyAlignment="1">
      <alignment/>
    </xf>
    <xf numFmtId="0" fontId="23" fillId="9" borderId="15" xfId="0" applyFont="1" applyFill="1" applyBorder="1" applyAlignment="1">
      <alignment/>
    </xf>
    <xf numFmtId="0" fontId="23" fillId="9" borderId="11" xfId="0" applyNumberFormat="1" applyFont="1" applyFill="1" applyBorder="1" applyAlignment="1" applyProtection="1">
      <alignment horizontal="center"/>
      <protection/>
    </xf>
    <xf numFmtId="0" fontId="23" fillId="9" borderId="11" xfId="0" applyFont="1" applyFill="1" applyBorder="1" applyAlignment="1" applyProtection="1">
      <alignment horizontal="center" vertical="center"/>
      <protection/>
    </xf>
    <xf numFmtId="0" fontId="23" fillId="9" borderId="33" xfId="0" applyFont="1" applyFill="1" applyBorder="1" applyAlignment="1">
      <alignment horizontal="center"/>
    </xf>
    <xf numFmtId="10" fontId="5" fillId="0" borderId="0" xfId="0" applyNumberFormat="1" applyFont="1" applyFill="1" applyBorder="1" applyAlignment="1" applyProtection="1">
      <alignment horizontal="right" vertical="top"/>
      <protection/>
    </xf>
    <xf numFmtId="2" fontId="5" fillId="3" borderId="0" xfId="0" applyNumberFormat="1" applyFont="1" applyFill="1" applyBorder="1" applyAlignment="1" applyProtection="1">
      <alignment horizontal="right" vertical="top"/>
      <protection/>
    </xf>
    <xf numFmtId="2" fontId="23" fillId="0" borderId="0" xfId="0" applyNumberFormat="1" applyFont="1" applyFill="1" applyBorder="1" applyAlignment="1" applyProtection="1">
      <alignment vertical="center"/>
      <protection/>
    </xf>
    <xf numFmtId="0" fontId="23" fillId="0" borderId="0" xfId="0" applyFont="1" applyFill="1" applyBorder="1" applyAlignment="1">
      <alignment horizontal="center"/>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 fillId="0" borderId="0" xfId="0" applyFont="1" applyBorder="1" applyAlignment="1">
      <alignment/>
    </xf>
    <xf numFmtId="0" fontId="3" fillId="4" borderId="0" xfId="0" applyFont="1" applyFill="1" applyBorder="1" applyAlignment="1">
      <alignment/>
    </xf>
    <xf numFmtId="0" fontId="3" fillId="5" borderId="0" xfId="0" applyFont="1"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xf>
    <xf numFmtId="2" fontId="23" fillId="12" borderId="11" xfId="0" applyNumberFormat="1" applyFont="1" applyFill="1" applyBorder="1" applyAlignment="1" applyProtection="1">
      <alignment horizontal="center"/>
      <protection/>
    </xf>
    <xf numFmtId="0" fontId="23" fillId="12" borderId="11" xfId="0" applyFont="1" applyFill="1" applyBorder="1" applyAlignment="1" applyProtection="1">
      <alignment horizontal="center"/>
      <protection/>
    </xf>
    <xf numFmtId="0" fontId="3" fillId="12" borderId="0" xfId="0" applyFont="1" applyFill="1" applyBorder="1" applyAlignment="1">
      <alignment/>
    </xf>
    <xf numFmtId="2" fontId="23" fillId="12" borderId="33" xfId="0" applyNumberFormat="1" applyFont="1" applyFill="1" applyBorder="1" applyAlignment="1" applyProtection="1">
      <alignment horizontal="center"/>
      <protection/>
    </xf>
    <xf numFmtId="0" fontId="23" fillId="12" borderId="33" xfId="0" applyFont="1" applyFill="1" applyBorder="1" applyAlignment="1" applyProtection="1">
      <alignment horizontal="center"/>
      <protection/>
    </xf>
    <xf numFmtId="0" fontId="23" fillId="12" borderId="4" xfId="0" applyFont="1" applyFill="1" applyBorder="1" applyAlignment="1" applyProtection="1">
      <alignment horizontal="center"/>
      <protection/>
    </xf>
    <xf numFmtId="2" fontId="23" fillId="12" borderId="4" xfId="0" applyNumberFormat="1" applyFont="1" applyFill="1" applyBorder="1" applyAlignment="1" applyProtection="1">
      <alignment wrapText="1"/>
      <protection/>
    </xf>
    <xf numFmtId="2" fontId="23" fillId="12" borderId="4" xfId="0" applyNumberFormat="1" applyFont="1" applyFill="1" applyBorder="1" applyAlignment="1" applyProtection="1">
      <alignment horizontal="center"/>
      <protection/>
    </xf>
    <xf numFmtId="0" fontId="0" fillId="12" borderId="0" xfId="0" applyFont="1" applyFill="1" applyBorder="1" applyAlignment="1">
      <alignment horizontal="center"/>
    </xf>
    <xf numFmtId="177" fontId="23" fillId="12" borderId="4" xfId="0" applyNumberFormat="1" applyFont="1" applyFill="1" applyBorder="1" applyAlignment="1" applyProtection="1">
      <alignment horizontal="center"/>
      <protection/>
    </xf>
    <xf numFmtId="0" fontId="6" fillId="12" borderId="0" xfId="0" applyFont="1" applyFill="1" applyBorder="1" applyAlignment="1">
      <alignment horizontal="center"/>
    </xf>
    <xf numFmtId="2" fontId="23" fillId="12" borderId="11" xfId="0" applyNumberFormat="1" applyFont="1" applyFill="1" applyBorder="1" applyAlignment="1" applyProtection="1">
      <alignment/>
      <protection/>
    </xf>
    <xf numFmtId="2" fontId="23" fillId="12" borderId="8" xfId="0" applyNumberFormat="1" applyFont="1" applyFill="1" applyBorder="1" applyAlignment="1" applyProtection="1">
      <alignment/>
      <protection/>
    </xf>
    <xf numFmtId="0" fontId="23" fillId="12" borderId="8" xfId="0" applyFont="1" applyFill="1" applyBorder="1" applyAlignment="1" applyProtection="1">
      <alignment horizontal="center"/>
      <protection/>
    </xf>
    <xf numFmtId="2" fontId="23" fillId="12" borderId="8" xfId="0" applyNumberFormat="1" applyFont="1" applyFill="1" applyBorder="1" applyAlignment="1" applyProtection="1">
      <alignment horizontal="center"/>
      <protection/>
    </xf>
    <xf numFmtId="2" fontId="23" fillId="12" borderId="33" xfId="0" applyNumberFormat="1" applyFont="1" applyFill="1" applyBorder="1" applyAlignment="1" applyProtection="1">
      <alignment/>
      <protection/>
    </xf>
    <xf numFmtId="0" fontId="0" fillId="12" borderId="33" xfId="0" applyFont="1" applyFill="1" applyBorder="1" applyAlignment="1">
      <alignment/>
    </xf>
    <xf numFmtId="2" fontId="23" fillId="12" borderId="4" xfId="0" applyNumberFormat="1" applyFont="1" applyFill="1" applyBorder="1" applyAlignment="1" applyProtection="1">
      <alignment vertical="center"/>
      <protection/>
    </xf>
    <xf numFmtId="0" fontId="23" fillId="12" borderId="4" xfId="0" applyFont="1" applyFill="1" applyBorder="1" applyAlignment="1" applyProtection="1">
      <alignment horizontal="center" vertical="center"/>
      <protection/>
    </xf>
    <xf numFmtId="2" fontId="23" fillId="12" borderId="4" xfId="0" applyNumberFormat="1" applyFont="1" applyFill="1" applyBorder="1" applyAlignment="1" applyProtection="1">
      <alignment horizontal="center" vertical="center"/>
      <protection/>
    </xf>
    <xf numFmtId="2" fontId="23" fillId="12" borderId="4" xfId="0" applyNumberFormat="1" applyFont="1" applyFill="1" applyBorder="1" applyAlignment="1" applyProtection="1">
      <alignment/>
      <protection/>
    </xf>
    <xf numFmtId="0" fontId="2" fillId="3" borderId="19" xfId="0" applyNumberFormat="1" applyFont="1" applyFill="1" applyBorder="1" applyAlignment="1" applyProtection="1">
      <alignment horizontal="center" vertical="center"/>
      <protection/>
    </xf>
    <xf numFmtId="0" fontId="2" fillId="0" borderId="8" xfId="0" applyFont="1" applyFill="1" applyBorder="1" applyAlignment="1" applyProtection="1">
      <alignment horizontal="justify" vertical="top" wrapText="1"/>
      <protection/>
    </xf>
    <xf numFmtId="0" fontId="23" fillId="9" borderId="13" xfId="0" applyFont="1" applyFill="1" applyBorder="1" applyAlignment="1" applyProtection="1">
      <alignment horizontal="center"/>
      <protection/>
    </xf>
    <xf numFmtId="0" fontId="23" fillId="12" borderId="13" xfId="0" applyFont="1" applyFill="1" applyBorder="1" applyAlignment="1" applyProtection="1">
      <alignment horizontal="center"/>
      <protection/>
    </xf>
    <xf numFmtId="172" fontId="2" fillId="3" borderId="0" xfId="0" applyNumberFormat="1" applyFont="1" applyFill="1" applyBorder="1" applyAlignment="1" applyProtection="1">
      <alignment horizontal="center"/>
      <protection/>
    </xf>
    <xf numFmtId="172" fontId="2" fillId="0" borderId="8" xfId="0" applyNumberFormat="1"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8" borderId="4" xfId="0" applyFont="1" applyFill="1" applyBorder="1" applyAlignment="1" applyProtection="1">
      <alignment horizontal="center"/>
      <protection/>
    </xf>
    <xf numFmtId="172" fontId="2" fillId="0" borderId="11" xfId="0" applyNumberFormat="1" applyFont="1" applyFill="1" applyBorder="1" applyAlignment="1" applyProtection="1">
      <alignment horizontal="center"/>
      <protection/>
    </xf>
    <xf numFmtId="2" fontId="2" fillId="0" borderId="34" xfId="0" applyNumberFormat="1" applyFont="1" applyFill="1" applyBorder="1" applyAlignment="1" applyProtection="1">
      <alignment horizontal="center"/>
      <protection/>
    </xf>
    <xf numFmtId="10" fontId="2" fillId="0" borderId="35" xfId="0" applyNumberFormat="1" applyFont="1" applyFill="1" applyBorder="1" applyAlignment="1" applyProtection="1">
      <alignment horizontal="center" vertical="center"/>
      <protection/>
    </xf>
    <xf numFmtId="172" fontId="2" fillId="0" borderId="36" xfId="0" applyNumberFormat="1" applyFont="1" applyFill="1" applyBorder="1" applyAlignment="1" applyProtection="1">
      <alignment horizontal="center" vertical="center"/>
      <protection/>
    </xf>
    <xf numFmtId="172" fontId="4" fillId="0"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550"/>
  <sheetViews>
    <sheetView tabSelected="1" workbookViewId="0" topLeftCell="A415">
      <selection activeCell="AJ482" sqref="T1:AJ16384"/>
    </sheetView>
  </sheetViews>
  <sheetFormatPr defaultColWidth="11.421875" defaultRowHeight="12.75"/>
  <cols>
    <col min="1" max="1" width="3.7109375" style="1" customWidth="1"/>
    <col min="2" max="2" width="15.28125" style="1" customWidth="1"/>
    <col min="3" max="3" width="60.140625" style="1" customWidth="1"/>
    <col min="4" max="4" width="5.28125" style="1" customWidth="1"/>
    <col min="5" max="5" width="4.7109375" style="2" customWidth="1"/>
    <col min="6" max="6" width="2.7109375" style="1" customWidth="1"/>
    <col min="7" max="8" width="0" style="3" hidden="1" customWidth="1"/>
    <col min="9" max="9" width="7.57421875" style="1" customWidth="1"/>
    <col min="10" max="10" width="5.421875" style="1" customWidth="1"/>
    <col min="11" max="12" width="0" style="4" hidden="1" customWidth="1"/>
    <col min="13" max="13" width="5.421875" style="5" customWidth="1"/>
    <col min="14" max="14" width="2.57421875" style="5" customWidth="1"/>
    <col min="15" max="15" width="4.8515625" style="5" customWidth="1"/>
    <col min="16" max="16" width="5.8515625" style="5" customWidth="1"/>
    <col min="17" max="18" width="5.421875" style="5" customWidth="1"/>
    <col min="19" max="19" width="2.00390625" style="6" customWidth="1"/>
    <col min="20" max="20" width="4.00390625" style="7" hidden="1" customWidth="1"/>
    <col min="21" max="21" width="4.00390625" style="8" hidden="1" customWidth="1"/>
    <col min="22" max="22" width="5.421875" style="9" hidden="1" customWidth="1"/>
    <col min="23" max="24" width="4.8515625" style="10" hidden="1" customWidth="1"/>
    <col min="25" max="25" width="4.8515625" style="11" hidden="1" customWidth="1"/>
    <col min="26" max="26" width="4.00390625" style="11" hidden="1" customWidth="1"/>
    <col min="27" max="27" width="3.8515625" style="11" hidden="1" customWidth="1"/>
    <col min="28" max="28" width="3.57421875" style="12" hidden="1" customWidth="1"/>
    <col min="29" max="29" width="4.140625" style="12" hidden="1" customWidth="1"/>
    <col min="30" max="30" width="25.421875" style="6" hidden="1" customWidth="1"/>
    <col min="31" max="31" width="17.8515625" style="6" hidden="1" customWidth="1"/>
    <col min="32" max="32" width="10.421875" style="6" hidden="1" customWidth="1"/>
    <col min="33" max="33" width="12.7109375" style="6" hidden="1" customWidth="1"/>
    <col min="34" max="34" width="9.421875" style="6" hidden="1" customWidth="1"/>
    <col min="35" max="36" width="0" style="6" hidden="1" customWidth="1"/>
    <col min="37" max="38" width="11.421875" style="6" customWidth="1"/>
    <col min="39" max="39" width="12.140625" style="6" customWidth="1"/>
    <col min="40" max="40" width="10.57421875" style="6" customWidth="1"/>
    <col min="41" max="41" width="21.57421875" style="6" customWidth="1"/>
    <col min="42" max="42" width="30.7109375" style="6" customWidth="1"/>
    <col min="43" max="43" width="10.57421875" style="6" customWidth="1"/>
    <col min="44" max="44" width="16.57421875" style="6" customWidth="1"/>
    <col min="45" max="45" width="23.57421875" style="6" customWidth="1"/>
    <col min="46" max="46" width="9.28125" style="6" customWidth="1"/>
    <col min="47" max="47" width="11.8515625" style="6" customWidth="1"/>
    <col min="48" max="48" width="5.8515625" style="6" customWidth="1"/>
    <col min="49" max="49" width="11.421875" style="6" customWidth="1"/>
    <col min="50" max="50" width="8.421875" style="6" customWidth="1"/>
    <col min="51" max="51" width="6.28125" style="6" customWidth="1"/>
    <col min="52" max="52" width="4.421875" style="6" customWidth="1"/>
    <col min="53" max="53" width="11.421875" style="6" customWidth="1"/>
    <col min="54" max="54" width="16.7109375" style="6" customWidth="1"/>
    <col min="55" max="55" width="14.140625" style="6" customWidth="1"/>
    <col min="56" max="56" width="6.28125" style="6" customWidth="1"/>
    <col min="57" max="57" width="10.140625" style="6" customWidth="1"/>
    <col min="58" max="59" width="11.421875" style="6" customWidth="1"/>
    <col min="60" max="60" width="11.421875" style="5" customWidth="1"/>
    <col min="61" max="92" width="11.28125" style="5" customWidth="1"/>
    <col min="93" max="16384" width="11.00390625" style="1" customWidth="1"/>
  </cols>
  <sheetData>
    <row r="1" spans="1:59" ht="12.75">
      <c r="A1" s="13" t="s">
        <v>1097</v>
      </c>
      <c r="B1" s="14" t="s">
        <v>1098</v>
      </c>
      <c r="C1" s="15"/>
      <c r="D1" s="16"/>
      <c r="E1" s="785" t="s">
        <v>1099</v>
      </c>
      <c r="F1" s="785"/>
      <c r="G1" s="17" t="s">
        <v>1100</v>
      </c>
      <c r="H1" s="18"/>
      <c r="I1" s="19" t="s">
        <v>1101</v>
      </c>
      <c r="J1" s="20" t="s">
        <v>1102</v>
      </c>
      <c r="K1" s="21" t="s">
        <v>1103</v>
      </c>
      <c r="L1" s="22"/>
      <c r="M1" s="786" t="s">
        <v>1104</v>
      </c>
      <c r="N1" s="786"/>
      <c r="O1" s="786"/>
      <c r="P1" s="786"/>
      <c r="Q1" s="786"/>
      <c r="R1" s="786"/>
      <c r="S1" s="23"/>
      <c r="T1" s="24"/>
      <c r="U1" s="25"/>
      <c r="V1" s="26"/>
      <c r="W1" s="27"/>
      <c r="X1" s="27"/>
      <c r="Y1" s="28"/>
      <c r="Z1" s="28"/>
      <c r="AA1" s="28"/>
      <c r="AB1" s="29"/>
      <c r="AC1" s="30"/>
      <c r="AD1" s="31"/>
      <c r="AE1" s="32"/>
      <c r="AF1" s="32"/>
      <c r="AG1" s="32"/>
      <c r="AH1" s="32"/>
      <c r="AI1" s="32"/>
      <c r="AJ1" s="33"/>
      <c r="AK1" s="32"/>
      <c r="AL1" s="787" t="s">
        <v>1105</v>
      </c>
      <c r="AM1" s="787"/>
      <c r="AN1" s="33"/>
      <c r="AO1" s="787" t="s">
        <v>1106</v>
      </c>
      <c r="AP1" s="787"/>
      <c r="AQ1" s="32"/>
      <c r="AR1" s="781" t="s">
        <v>1107</v>
      </c>
      <c r="AS1" s="781"/>
      <c r="AT1" s="34"/>
      <c r="AU1" s="34"/>
      <c r="AV1" s="32"/>
      <c r="AW1" s="35"/>
      <c r="AX1" s="36"/>
      <c r="AY1" s="37"/>
      <c r="AZ1" s="38"/>
      <c r="BA1" s="782" t="s">
        <v>1108</v>
      </c>
      <c r="BB1" s="782"/>
      <c r="BC1" s="32"/>
      <c r="BD1" s="32"/>
      <c r="BE1" s="39"/>
      <c r="BF1" s="40"/>
      <c r="BG1" s="41"/>
    </row>
    <row r="2" spans="1:59" ht="12.75">
      <c r="A2" s="42" t="s">
        <v>1109</v>
      </c>
      <c r="B2" s="43"/>
      <c r="C2" s="44" t="s">
        <v>1110</v>
      </c>
      <c r="D2" s="45" t="s">
        <v>1111</v>
      </c>
      <c r="E2" s="46" t="s">
        <v>1112</v>
      </c>
      <c r="F2" s="47"/>
      <c r="G2" s="48" t="s">
        <v>1113</v>
      </c>
      <c r="H2" s="48"/>
      <c r="I2" s="49" t="s">
        <v>1114</v>
      </c>
      <c r="J2" s="44" t="s">
        <v>1115</v>
      </c>
      <c r="K2" s="50" t="s">
        <v>1116</v>
      </c>
      <c r="L2" s="51"/>
      <c r="M2" s="783" t="s">
        <v>1117</v>
      </c>
      <c r="N2" s="783"/>
      <c r="O2" s="52"/>
      <c r="P2" s="53" t="s">
        <v>1118</v>
      </c>
      <c r="Q2" s="784" t="s">
        <v>1119</v>
      </c>
      <c r="R2" s="784"/>
      <c r="S2" s="43"/>
      <c r="T2" s="54" t="s">
        <v>1120</v>
      </c>
      <c r="U2" s="55"/>
      <c r="V2" s="56" t="s">
        <v>1121</v>
      </c>
      <c r="W2" s="57" t="s">
        <v>1122</v>
      </c>
      <c r="X2" s="57"/>
      <c r="Y2" s="58" t="s">
        <v>1123</v>
      </c>
      <c r="Z2" s="58" t="s">
        <v>1124</v>
      </c>
      <c r="AA2" s="58"/>
      <c r="AB2" s="29"/>
      <c r="AC2" s="30"/>
      <c r="AD2" s="31"/>
      <c r="AE2" s="32"/>
      <c r="AF2" s="32"/>
      <c r="AG2" s="32"/>
      <c r="AH2" s="32"/>
      <c r="AI2" s="32"/>
      <c r="AJ2" s="33"/>
      <c r="AK2" s="32"/>
      <c r="AL2" s="37" t="s">
        <v>1125</v>
      </c>
      <c r="AM2" s="59">
        <v>0.047</v>
      </c>
      <c r="AN2" s="33"/>
      <c r="AO2" s="37" t="s">
        <v>1126</v>
      </c>
      <c r="AP2" s="60">
        <v>27.49</v>
      </c>
      <c r="AQ2" s="32"/>
      <c r="AR2" s="61" t="s">
        <v>1127</v>
      </c>
      <c r="AS2" s="60">
        <v>58.92</v>
      </c>
      <c r="AT2" s="61"/>
      <c r="AU2" s="62"/>
      <c r="AV2" s="32"/>
      <c r="AW2" s="35"/>
      <c r="AX2" s="60"/>
      <c r="AY2" s="37"/>
      <c r="AZ2" s="63"/>
      <c r="BA2" s="64" t="s">
        <v>1128</v>
      </c>
      <c r="BB2" s="65"/>
      <c r="BC2" s="32"/>
      <c r="BD2" s="32"/>
      <c r="BE2" s="66"/>
      <c r="BF2" s="67"/>
      <c r="BG2" s="41"/>
    </row>
    <row r="3" spans="1:59" ht="12.75">
      <c r="A3" s="42" t="s">
        <v>1129</v>
      </c>
      <c r="B3" s="43" t="s">
        <v>1130</v>
      </c>
      <c r="C3" s="68"/>
      <c r="D3" s="45"/>
      <c r="E3" s="46" t="s">
        <v>1131</v>
      </c>
      <c r="F3" s="47"/>
      <c r="G3" s="69" t="s">
        <v>1132</v>
      </c>
      <c r="H3" s="70" t="s">
        <v>1133</v>
      </c>
      <c r="I3" s="44" t="s">
        <v>1134</v>
      </c>
      <c r="J3" s="44" t="s">
        <v>1135</v>
      </c>
      <c r="K3" s="779" t="s">
        <v>1136</v>
      </c>
      <c r="L3" s="779"/>
      <c r="M3" s="780" t="s">
        <v>1137</v>
      </c>
      <c r="N3" s="780"/>
      <c r="O3" s="43" t="s">
        <v>1138</v>
      </c>
      <c r="P3" s="44" t="s">
        <v>1139</v>
      </c>
      <c r="Q3" s="71" t="s">
        <v>1140</v>
      </c>
      <c r="R3" s="72" t="s">
        <v>1141</v>
      </c>
      <c r="S3" s="73"/>
      <c r="T3" s="74" t="s">
        <v>1142</v>
      </c>
      <c r="U3" s="75"/>
      <c r="V3" s="76" t="s">
        <v>1143</v>
      </c>
      <c r="W3" s="77" t="s">
        <v>1144</v>
      </c>
      <c r="X3" s="77"/>
      <c r="Y3" s="78"/>
      <c r="Z3" s="78"/>
      <c r="AA3" s="78"/>
      <c r="AB3" s="29"/>
      <c r="AC3" s="79"/>
      <c r="AD3" s="31"/>
      <c r="AE3" s="32"/>
      <c r="AF3" s="32"/>
      <c r="AG3" s="32"/>
      <c r="AH3" s="32"/>
      <c r="AI3" s="32"/>
      <c r="AJ3" s="33"/>
      <c r="AK3" s="32"/>
      <c r="AL3" s="37" t="s">
        <v>1145</v>
      </c>
      <c r="AM3" s="59">
        <v>0.047</v>
      </c>
      <c r="AN3" s="33"/>
      <c r="AO3" s="37" t="s">
        <v>1146</v>
      </c>
      <c r="AP3" s="60">
        <v>27.49</v>
      </c>
      <c r="AQ3" s="32"/>
      <c r="AR3" s="61" t="s">
        <v>1147</v>
      </c>
      <c r="AS3" s="60">
        <v>32.36</v>
      </c>
      <c r="AT3" s="62"/>
      <c r="AU3" s="62"/>
      <c r="AV3" s="32"/>
      <c r="AW3" s="35" t="s">
        <v>1148</v>
      </c>
      <c r="AX3" s="80">
        <v>3.811</v>
      </c>
      <c r="AY3" s="37" t="s">
        <v>1149</v>
      </c>
      <c r="AZ3" s="81" t="s">
        <v>1150</v>
      </c>
      <c r="BA3" s="82" t="s">
        <v>1151</v>
      </c>
      <c r="BB3" s="83">
        <v>0.47</v>
      </c>
      <c r="BC3" s="32"/>
      <c r="BD3" s="32"/>
      <c r="BE3" s="84"/>
      <c r="BF3" s="85"/>
      <c r="BG3" s="41"/>
    </row>
    <row r="4" spans="1:59" ht="12.75">
      <c r="A4" s="42" t="s">
        <v>1152</v>
      </c>
      <c r="B4" s="43"/>
      <c r="C4" s="86"/>
      <c r="D4" s="45"/>
      <c r="E4" s="87" t="s">
        <v>1153</v>
      </c>
      <c r="F4" s="88"/>
      <c r="G4" s="89" t="s">
        <v>1154</v>
      </c>
      <c r="H4" s="90" t="s">
        <v>1155</v>
      </c>
      <c r="I4" s="91" t="s">
        <v>1156</v>
      </c>
      <c r="J4" s="44" t="s">
        <v>1157</v>
      </c>
      <c r="K4" s="779" t="str">
        <f>"(2)"</f>
        <v>(2)</v>
      </c>
      <c r="L4" s="779"/>
      <c r="M4" s="780" t="s">
        <v>1158</v>
      </c>
      <c r="N4" s="780"/>
      <c r="O4" s="43"/>
      <c r="P4" s="44" t="s">
        <v>1159</v>
      </c>
      <c r="Q4" s="92" t="s">
        <v>1160</v>
      </c>
      <c r="R4" s="93"/>
      <c r="S4" s="73"/>
      <c r="T4" s="74"/>
      <c r="U4" s="75"/>
      <c r="V4" s="76"/>
      <c r="W4" s="77"/>
      <c r="X4" s="77"/>
      <c r="Y4" s="78"/>
      <c r="Z4" s="78"/>
      <c r="AA4" s="78"/>
      <c r="AB4" s="29"/>
      <c r="AC4" s="79"/>
      <c r="AD4" s="31"/>
      <c r="AE4" s="32"/>
      <c r="AF4" s="32"/>
      <c r="AG4" s="32"/>
      <c r="AH4" s="32"/>
      <c r="AI4" s="23"/>
      <c r="AJ4" s="32"/>
      <c r="AK4" s="32"/>
      <c r="AL4" s="37" t="s">
        <v>1161</v>
      </c>
      <c r="AM4" s="59">
        <v>0.035</v>
      </c>
      <c r="AN4" s="33"/>
      <c r="AO4" s="37" t="s">
        <v>1162</v>
      </c>
      <c r="AP4" s="60">
        <v>27.49</v>
      </c>
      <c r="AQ4" s="32"/>
      <c r="AR4" s="94" t="s">
        <v>1163</v>
      </c>
      <c r="AS4" s="95">
        <v>63.96</v>
      </c>
      <c r="AT4" s="62"/>
      <c r="AU4" s="62"/>
      <c r="AV4" s="32"/>
      <c r="AW4" s="32"/>
      <c r="AX4" s="32"/>
      <c r="AY4" s="32"/>
      <c r="AZ4" s="63"/>
      <c r="BA4" s="82" t="s">
        <v>1164</v>
      </c>
      <c r="BB4" s="96"/>
      <c r="BC4" s="32"/>
      <c r="BD4" s="32"/>
      <c r="BE4" s="84"/>
      <c r="BF4" s="85"/>
      <c r="BG4" s="41"/>
    </row>
    <row r="5" spans="1:59" ht="12.75">
      <c r="A5" s="97" t="s">
        <v>1165</v>
      </c>
      <c r="B5" s="43"/>
      <c r="C5" s="86"/>
      <c r="D5" s="45"/>
      <c r="E5" s="98"/>
      <c r="F5" s="99"/>
      <c r="G5" s="100"/>
      <c r="H5" s="101"/>
      <c r="I5" s="44" t="s">
        <v>1166</v>
      </c>
      <c r="J5" s="44"/>
      <c r="K5" s="50"/>
      <c r="L5" s="50"/>
      <c r="M5" s="102"/>
      <c r="N5" s="103"/>
      <c r="O5" s="43"/>
      <c r="P5" s="44"/>
      <c r="Q5" s="92"/>
      <c r="R5" s="93"/>
      <c r="S5" s="73"/>
      <c r="T5" s="74"/>
      <c r="U5" s="75"/>
      <c r="V5" s="76"/>
      <c r="W5" s="77"/>
      <c r="X5" s="77"/>
      <c r="Y5" s="78"/>
      <c r="Z5" s="78"/>
      <c r="AA5" s="78"/>
      <c r="AB5" s="29"/>
      <c r="AC5" s="79"/>
      <c r="AD5" s="31"/>
      <c r="AE5" s="32"/>
      <c r="AF5" s="32"/>
      <c r="AG5" s="32"/>
      <c r="AH5" s="32"/>
      <c r="AI5" s="23"/>
      <c r="AJ5" s="32"/>
      <c r="AK5" s="32"/>
      <c r="AL5" s="37" t="s">
        <v>1167</v>
      </c>
      <c r="AM5" s="59">
        <v>0.03</v>
      </c>
      <c r="AN5" s="33"/>
      <c r="AO5" s="37" t="s">
        <v>1168</v>
      </c>
      <c r="AP5" s="60">
        <v>26.71</v>
      </c>
      <c r="AQ5" s="32"/>
      <c r="AR5" s="104"/>
      <c r="AS5" s="105"/>
      <c r="AT5" s="62"/>
      <c r="AU5" s="62"/>
      <c r="AV5" s="32"/>
      <c r="AW5" s="32"/>
      <c r="AX5" s="32"/>
      <c r="AY5" s="32"/>
      <c r="AZ5" s="63"/>
      <c r="BA5" s="82"/>
      <c r="BB5" s="96"/>
      <c r="BC5" s="32"/>
      <c r="BD5" s="32"/>
      <c r="BE5" s="84"/>
      <c r="BF5" s="85"/>
      <c r="BG5" s="41"/>
    </row>
    <row r="6" spans="1:59" ht="12.75">
      <c r="A6" s="106"/>
      <c r="B6" s="107">
        <v>1</v>
      </c>
      <c r="C6" s="108">
        <v>2</v>
      </c>
      <c r="D6" s="109">
        <v>3</v>
      </c>
      <c r="E6" s="110">
        <v>4</v>
      </c>
      <c r="F6" s="111"/>
      <c r="G6" s="112">
        <v>4</v>
      </c>
      <c r="H6" s="113">
        <v>5</v>
      </c>
      <c r="I6" s="108">
        <v>5</v>
      </c>
      <c r="J6" s="108">
        <v>6</v>
      </c>
      <c r="K6" s="775">
        <v>6</v>
      </c>
      <c r="L6" s="775"/>
      <c r="M6" s="114" t="str">
        <f>"        7"</f>
        <v>        7</v>
      </c>
      <c r="N6" s="115"/>
      <c r="O6" s="107">
        <v>8</v>
      </c>
      <c r="P6" s="108">
        <v>9</v>
      </c>
      <c r="Q6" s="116">
        <v>11</v>
      </c>
      <c r="R6" s="117">
        <v>12</v>
      </c>
      <c r="S6" s="118"/>
      <c r="T6" s="119"/>
      <c r="U6" s="120"/>
      <c r="V6" s="121"/>
      <c r="W6" s="122"/>
      <c r="X6" s="122"/>
      <c r="Y6" s="123"/>
      <c r="Z6" s="123"/>
      <c r="AA6" s="123"/>
      <c r="AB6" s="29"/>
      <c r="AC6" s="79"/>
      <c r="AD6" s="31"/>
      <c r="AE6" s="31"/>
      <c r="AF6" s="31"/>
      <c r="AG6" s="31"/>
      <c r="AH6" s="31"/>
      <c r="AI6" s="31"/>
      <c r="AJ6" s="31"/>
      <c r="AK6" s="31"/>
      <c r="AL6" s="37" t="s">
        <v>1169</v>
      </c>
      <c r="AM6" s="59">
        <v>0.037</v>
      </c>
      <c r="AN6" s="124"/>
      <c r="AO6" s="37" t="s">
        <v>1170</v>
      </c>
      <c r="AP6" s="60">
        <v>27.49</v>
      </c>
      <c r="AQ6" s="31"/>
      <c r="AR6" s="125"/>
      <c r="AS6" s="126"/>
      <c r="AT6" s="127"/>
      <c r="AU6" s="127"/>
      <c r="AV6" s="31"/>
      <c r="AW6" s="31"/>
      <c r="AX6" s="31"/>
      <c r="AY6" s="31"/>
      <c r="AZ6" s="128"/>
      <c r="BA6" s="129" t="s">
        <v>1171</v>
      </c>
      <c r="BB6" s="96"/>
      <c r="BC6" s="32"/>
      <c r="BD6" s="31"/>
      <c r="BE6" s="130"/>
      <c r="BF6" s="131"/>
      <c r="BG6" s="41"/>
    </row>
    <row r="7" spans="1:59" ht="12.75">
      <c r="A7" s="42"/>
      <c r="B7" s="23"/>
      <c r="C7" s="132"/>
      <c r="D7" s="45"/>
      <c r="E7" s="98"/>
      <c r="F7" s="133"/>
      <c r="G7" s="100"/>
      <c r="H7" s="101"/>
      <c r="I7" s="44"/>
      <c r="J7" s="44"/>
      <c r="K7" s="134"/>
      <c r="L7" s="134"/>
      <c r="M7" s="135"/>
      <c r="N7" s="136"/>
      <c r="O7" s="43"/>
      <c r="P7" s="68"/>
      <c r="Q7" s="137"/>
      <c r="R7" s="138"/>
      <c r="S7" s="23"/>
      <c r="T7" s="24"/>
      <c r="U7" s="25"/>
      <c r="V7" s="26"/>
      <c r="W7" s="27"/>
      <c r="X7" s="27"/>
      <c r="Y7" s="28"/>
      <c r="Z7" s="28"/>
      <c r="AA7" s="28"/>
      <c r="AB7" s="29"/>
      <c r="AC7" s="79"/>
      <c r="AD7" s="139"/>
      <c r="AE7" s="41"/>
      <c r="AF7" s="41"/>
      <c r="AG7" s="41"/>
      <c r="AH7" s="32"/>
      <c r="AI7" s="32"/>
      <c r="AJ7" s="32"/>
      <c r="AK7" s="32"/>
      <c r="AL7" s="61" t="s">
        <v>1172</v>
      </c>
      <c r="AM7" s="140">
        <v>0.007</v>
      </c>
      <c r="AN7" s="32"/>
      <c r="AO7" s="37" t="s">
        <v>1173</v>
      </c>
      <c r="AP7" s="60">
        <v>26.71</v>
      </c>
      <c r="AQ7" s="32"/>
      <c r="AR7" s="61" t="s">
        <v>1174</v>
      </c>
      <c r="AS7" s="141">
        <v>5.66</v>
      </c>
      <c r="AT7" s="127"/>
      <c r="AU7" s="127"/>
      <c r="AV7" s="32"/>
      <c r="AW7" s="32"/>
      <c r="AX7" s="32"/>
      <c r="AY7" s="32"/>
      <c r="AZ7" s="63"/>
      <c r="BA7" s="142" t="s">
        <v>1175</v>
      </c>
      <c r="BB7" s="143"/>
      <c r="BC7" s="32"/>
      <c r="BD7" s="32"/>
      <c r="BE7" s="144"/>
      <c r="BF7" s="145"/>
      <c r="BG7" s="41"/>
    </row>
    <row r="8" spans="1:59" ht="26.25" customHeight="1">
      <c r="A8" s="42"/>
      <c r="B8" s="23"/>
      <c r="C8" s="146" t="s">
        <v>1176</v>
      </c>
      <c r="D8" s="45" t="s">
        <v>1177</v>
      </c>
      <c r="E8" s="98"/>
      <c r="F8" s="133"/>
      <c r="G8" s="100"/>
      <c r="H8" s="101"/>
      <c r="I8" s="44"/>
      <c r="J8" s="44"/>
      <c r="K8" s="134"/>
      <c r="L8" s="134"/>
      <c r="M8" s="135"/>
      <c r="N8" s="136"/>
      <c r="O8" s="43"/>
      <c r="P8" s="68"/>
      <c r="Q8" s="137"/>
      <c r="R8" s="138"/>
      <c r="S8" s="23"/>
      <c r="T8" s="24"/>
      <c r="U8" s="25"/>
      <c r="V8" s="26"/>
      <c r="W8" s="27"/>
      <c r="X8" s="27"/>
      <c r="Y8" s="28"/>
      <c r="Z8" s="28"/>
      <c r="AA8" s="28"/>
      <c r="AB8" s="29"/>
      <c r="AC8" s="147"/>
      <c r="AD8" s="139"/>
      <c r="AE8" s="41"/>
      <c r="AF8" s="41"/>
      <c r="AG8" s="41"/>
      <c r="AH8" s="148"/>
      <c r="AI8" s="148"/>
      <c r="AJ8" s="148"/>
      <c r="AK8" s="148"/>
      <c r="AL8" s="61" t="s">
        <v>1178</v>
      </c>
      <c r="AM8" s="59">
        <v>0.022</v>
      </c>
      <c r="AN8" s="148"/>
      <c r="AO8" s="37" t="s">
        <v>1179</v>
      </c>
      <c r="AP8" s="60">
        <v>26.37</v>
      </c>
      <c r="AQ8" s="32"/>
      <c r="AR8" s="61" t="s">
        <v>1180</v>
      </c>
      <c r="AS8" s="60">
        <v>41.69</v>
      </c>
      <c r="AT8" s="62"/>
      <c r="AU8" s="62"/>
      <c r="AV8" s="148"/>
      <c r="AW8" s="148"/>
      <c r="AX8" s="148"/>
      <c r="AY8" s="148"/>
      <c r="AZ8" s="81" t="s">
        <v>1181</v>
      </c>
      <c r="BA8" s="64" t="s">
        <v>1182</v>
      </c>
      <c r="BB8" s="149">
        <v>0.44</v>
      </c>
      <c r="BC8" s="32"/>
      <c r="BD8" s="148"/>
      <c r="BE8" s="144"/>
      <c r="BF8" s="145"/>
      <c r="BG8" s="41"/>
    </row>
    <row r="9" spans="1:59" ht="12.75">
      <c r="A9" s="150"/>
      <c r="B9" s="151"/>
      <c r="C9" s="151"/>
      <c r="D9" s="45"/>
      <c r="E9" s="98"/>
      <c r="F9" s="133"/>
      <c r="G9" s="100" t="s">
        <v>1183</v>
      </c>
      <c r="H9" s="101" t="str">
        <f>P</f>
        <v>. . .</v>
      </c>
      <c r="I9" s="44"/>
      <c r="J9" s="44"/>
      <c r="K9" s="134"/>
      <c r="L9" s="134"/>
      <c r="M9" s="152"/>
      <c r="N9" s="153"/>
      <c r="O9" s="154"/>
      <c r="P9" s="92"/>
      <c r="Q9" s="155"/>
      <c r="R9" s="156"/>
      <c r="S9" s="23"/>
      <c r="T9" s="157"/>
      <c r="U9" s="158"/>
      <c r="V9" s="159"/>
      <c r="W9" s="160"/>
      <c r="X9" s="160"/>
      <c r="Y9" s="161"/>
      <c r="Z9" s="161"/>
      <c r="AA9" s="28"/>
      <c r="AB9" s="29"/>
      <c r="AC9" s="162" t="s">
        <v>1184</v>
      </c>
      <c r="AD9" s="139"/>
      <c r="AE9" s="41"/>
      <c r="AF9" s="41"/>
      <c r="AG9" s="41"/>
      <c r="AH9" s="32"/>
      <c r="AI9" s="148"/>
      <c r="AJ9" s="148"/>
      <c r="AK9" s="148"/>
      <c r="AL9" s="35" t="s">
        <v>1185</v>
      </c>
      <c r="AM9" s="59">
        <v>0.022</v>
      </c>
      <c r="AN9" s="148"/>
      <c r="AO9" s="37" t="s">
        <v>1186</v>
      </c>
      <c r="AP9" s="60">
        <v>13.68</v>
      </c>
      <c r="AQ9" s="32"/>
      <c r="AR9" s="61" t="s">
        <v>1187</v>
      </c>
      <c r="AS9" s="60">
        <v>1.85</v>
      </c>
      <c r="AT9" s="62"/>
      <c r="AU9" s="62"/>
      <c r="AV9" s="148"/>
      <c r="AW9" s="148"/>
      <c r="AX9" s="148"/>
      <c r="AY9" s="148"/>
      <c r="AZ9" s="63"/>
      <c r="BA9" s="142" t="s">
        <v>1188</v>
      </c>
      <c r="BB9" s="143"/>
      <c r="BC9" s="32"/>
      <c r="BD9" s="148"/>
      <c r="BE9" s="144"/>
      <c r="BF9" s="145"/>
      <c r="BG9" s="41"/>
    </row>
    <row r="10" spans="1:59" ht="21" customHeight="1">
      <c r="A10" s="163">
        <v>1</v>
      </c>
      <c r="B10" s="164" t="s">
        <v>1189</v>
      </c>
      <c r="C10" s="165" t="s">
        <v>1190</v>
      </c>
      <c r="D10" s="45" t="str">
        <f>P</f>
        <v>. . .</v>
      </c>
      <c r="E10" s="98" t="s">
        <v>1191</v>
      </c>
      <c r="F10" s="133"/>
      <c r="G10" s="100" t="s">
        <v>1192</v>
      </c>
      <c r="H10" s="101" t="str">
        <f>P</f>
        <v>. . .</v>
      </c>
      <c r="I10" s="92">
        <f>VFFHS</f>
        <v>13.68</v>
      </c>
      <c r="J10" s="44" t="s">
        <v>1193</v>
      </c>
      <c r="K10" s="134" t="s">
        <v>1194</v>
      </c>
      <c r="L10" s="134"/>
      <c r="M10" s="152">
        <f>TIGH</f>
        <v>1.22</v>
      </c>
      <c r="N10" s="153"/>
      <c r="O10" s="154" t="str">
        <f>P</f>
        <v>. . .</v>
      </c>
      <c r="P10" s="92" t="str">
        <f>P</f>
        <v>. . .</v>
      </c>
      <c r="Q10" s="155">
        <f>TVAFLHTSMETRO</f>
        <v>3.1379600000000005</v>
      </c>
      <c r="R10" s="156">
        <f>TVAFLHTSCORSE</f>
        <v>2.0813</v>
      </c>
      <c r="S10" s="166"/>
      <c r="T10" s="157">
        <v>5701</v>
      </c>
      <c r="U10" s="158"/>
      <c r="W10" s="167">
        <v>5902</v>
      </c>
      <c r="X10" s="167"/>
      <c r="Y10" s="161"/>
      <c r="Z10" s="161"/>
      <c r="AA10" s="161"/>
      <c r="AB10" s="29"/>
      <c r="AC10" s="162" t="s">
        <v>1195</v>
      </c>
      <c r="AD10" s="139"/>
      <c r="AE10" s="41"/>
      <c r="AF10" s="41"/>
      <c r="AG10" s="41"/>
      <c r="AH10" s="32"/>
      <c r="AI10" s="148"/>
      <c r="AJ10" s="148"/>
      <c r="AK10" s="148"/>
      <c r="AL10" s="37" t="s">
        <v>1196</v>
      </c>
      <c r="AM10" s="59">
        <v>0.007</v>
      </c>
      <c r="AN10" s="148"/>
      <c r="AO10" s="37" t="s">
        <v>1197</v>
      </c>
      <c r="AP10" s="60">
        <v>15.47</v>
      </c>
      <c r="AQ10" s="32"/>
      <c r="AR10" s="61"/>
      <c r="AS10" s="60"/>
      <c r="AT10" s="62"/>
      <c r="AU10" s="62"/>
      <c r="AV10" s="148"/>
      <c r="AW10" s="148"/>
      <c r="AX10" s="148"/>
      <c r="AY10" s="148"/>
      <c r="AZ10" s="81" t="s">
        <v>1198</v>
      </c>
      <c r="BA10" s="168" t="s">
        <v>1199</v>
      </c>
      <c r="BB10" s="169">
        <v>0.52</v>
      </c>
      <c r="BC10" s="32"/>
      <c r="BD10" s="148"/>
      <c r="BE10" s="144"/>
      <c r="BF10" s="145"/>
      <c r="BG10" s="41"/>
    </row>
    <row r="11" spans="1:59" ht="12.75">
      <c r="A11" s="42">
        <v>2</v>
      </c>
      <c r="B11" s="23" t="s">
        <v>1200</v>
      </c>
      <c r="C11" s="170" t="s">
        <v>1201</v>
      </c>
      <c r="D11" s="45" t="str">
        <f>P</f>
        <v>. . .</v>
      </c>
      <c r="E11" s="98" t="s">
        <v>1202</v>
      </c>
      <c r="F11" s="133"/>
      <c r="G11" s="100" t="s">
        <v>1203</v>
      </c>
      <c r="H11" s="101" t="str">
        <f>P</f>
        <v>. . .</v>
      </c>
      <c r="I11" s="44" t="str">
        <f>"Réelle"</f>
        <v>Réelle</v>
      </c>
      <c r="J11" s="44" t="str">
        <f>P</f>
        <v>. . .</v>
      </c>
      <c r="K11" s="134" t="s">
        <v>1204</v>
      </c>
      <c r="L11" s="134"/>
      <c r="M11" s="152" t="s">
        <v>1205</v>
      </c>
      <c r="N11" s="153"/>
      <c r="O11" s="154" t="str">
        <f>P</f>
        <v>. . .</v>
      </c>
      <c r="P11" s="92" t="str">
        <f>P</f>
        <v>. . .</v>
      </c>
      <c r="Q11" s="92" t="str">
        <f>"(25)"</f>
        <v>(25)</v>
      </c>
      <c r="R11" s="171" t="str">
        <f>VI</f>
        <v>(25)</v>
      </c>
      <c r="S11" s="166"/>
      <c r="W11" s="10" t="str">
        <f>t</f>
        <v>TVO</v>
      </c>
      <c r="Y11" s="58">
        <v>9348</v>
      </c>
      <c r="Z11" s="58"/>
      <c r="AA11" s="161"/>
      <c r="AB11" s="29"/>
      <c r="AC11" s="162" t="s">
        <v>1206</v>
      </c>
      <c r="AD11" s="139"/>
      <c r="AE11" s="41"/>
      <c r="AF11" s="41"/>
      <c r="AG11" s="41"/>
      <c r="AH11" s="41"/>
      <c r="AI11" s="41"/>
      <c r="AJ11" s="148"/>
      <c r="AK11" s="148"/>
      <c r="AL11" s="35" t="s">
        <v>1207</v>
      </c>
      <c r="AM11" s="59">
        <v>0.022</v>
      </c>
      <c r="AN11" s="148"/>
      <c r="AO11" s="37" t="s">
        <v>1208</v>
      </c>
      <c r="AP11" s="60">
        <v>28.84</v>
      </c>
      <c r="AQ11" s="32"/>
      <c r="AR11" s="61" t="s">
        <v>1209</v>
      </c>
      <c r="AS11" s="60">
        <v>1.22</v>
      </c>
      <c r="AT11" s="62"/>
      <c r="AU11" s="62"/>
      <c r="AV11" s="148"/>
      <c r="AW11" s="148"/>
      <c r="AX11" s="148"/>
      <c r="AY11" s="148"/>
      <c r="AZ11" s="81" t="s">
        <v>1210</v>
      </c>
      <c r="BA11" s="168" t="s">
        <v>1211</v>
      </c>
      <c r="BB11" s="169">
        <v>0.51</v>
      </c>
      <c r="BC11" s="32"/>
      <c r="BD11" s="148"/>
      <c r="BE11" s="23"/>
      <c r="BF11" s="23"/>
      <c r="BG11" s="41"/>
    </row>
    <row r="12" spans="1:59" ht="12.75">
      <c r="A12" s="42"/>
      <c r="B12" s="172"/>
      <c r="C12" s="173"/>
      <c r="D12" s="45"/>
      <c r="E12" s="98"/>
      <c r="F12" s="133"/>
      <c r="G12" s="100"/>
      <c r="H12" s="101"/>
      <c r="I12" s="44"/>
      <c r="J12" s="44"/>
      <c r="K12" s="134"/>
      <c r="L12" s="134"/>
      <c r="M12" s="152"/>
      <c r="N12" s="153"/>
      <c r="O12" s="154"/>
      <c r="P12" s="92"/>
      <c r="Q12" s="155"/>
      <c r="R12" s="156"/>
      <c r="S12" s="154"/>
      <c r="T12" s="157"/>
      <c r="U12" s="158"/>
      <c r="V12" s="159"/>
      <c r="W12" s="160"/>
      <c r="X12" s="160"/>
      <c r="Y12" s="161"/>
      <c r="Z12" s="161"/>
      <c r="AA12" s="58"/>
      <c r="AB12" s="29"/>
      <c r="AC12" s="162" t="s">
        <v>1212</v>
      </c>
      <c r="AD12" s="139"/>
      <c r="AE12" s="41"/>
      <c r="AF12" s="41"/>
      <c r="AG12" s="41"/>
      <c r="AH12" s="32"/>
      <c r="AI12" s="148"/>
      <c r="AJ12" s="148"/>
      <c r="AK12" s="148"/>
      <c r="AL12" s="37" t="s">
        <v>1213</v>
      </c>
      <c r="AM12" s="59">
        <v>0.046</v>
      </c>
      <c r="AN12" s="148"/>
      <c r="AO12" s="174" t="s">
        <v>1214</v>
      </c>
      <c r="AP12" s="60">
        <v>30.06</v>
      </c>
      <c r="AQ12" s="32"/>
      <c r="AR12" s="61" t="s">
        <v>1215</v>
      </c>
      <c r="AS12" s="60">
        <v>10.76</v>
      </c>
      <c r="AT12" s="62"/>
      <c r="AU12" s="62"/>
      <c r="AV12" s="148"/>
      <c r="AW12" s="148"/>
      <c r="AX12" s="148"/>
      <c r="AY12" s="148"/>
      <c r="AZ12" s="63"/>
      <c r="BA12" s="63" t="s">
        <v>1216</v>
      </c>
      <c r="BB12" s="63"/>
      <c r="BC12" s="32"/>
      <c r="BD12" s="148"/>
      <c r="BE12" s="23"/>
      <c r="BF12" s="23"/>
      <c r="BG12" s="41"/>
    </row>
    <row r="13" spans="1:59" ht="12.75">
      <c r="A13" s="42"/>
      <c r="B13" s="172"/>
      <c r="C13" s="173"/>
      <c r="D13" s="45"/>
      <c r="E13" s="98"/>
      <c r="F13" s="133"/>
      <c r="G13" s="100"/>
      <c r="H13" s="101"/>
      <c r="I13" s="44"/>
      <c r="J13" s="44"/>
      <c r="K13" s="134"/>
      <c r="L13" s="134"/>
      <c r="M13" s="152"/>
      <c r="N13" s="153"/>
      <c r="O13" s="154"/>
      <c r="P13" s="92"/>
      <c r="Q13" s="155"/>
      <c r="R13" s="156"/>
      <c r="S13" s="166"/>
      <c r="T13" s="157"/>
      <c r="U13" s="158"/>
      <c r="V13" s="159"/>
      <c r="W13" s="160"/>
      <c r="X13" s="160"/>
      <c r="Y13" s="161"/>
      <c r="Z13" s="161"/>
      <c r="AA13" s="161"/>
      <c r="AB13" s="29"/>
      <c r="AC13" s="175" t="s">
        <v>1217</v>
      </c>
      <c r="AD13" s="139"/>
      <c r="AE13" s="41"/>
      <c r="AF13" s="41"/>
      <c r="AG13" s="41"/>
      <c r="AH13" s="32"/>
      <c r="AI13" s="148"/>
      <c r="AJ13" s="148"/>
      <c r="AK13" s="148"/>
      <c r="AL13" s="37" t="s">
        <v>1218</v>
      </c>
      <c r="AM13" s="59">
        <v>0.053</v>
      </c>
      <c r="AN13" s="148"/>
      <c r="AO13" s="37" t="s">
        <v>1219</v>
      </c>
      <c r="AP13" s="60">
        <v>22.87</v>
      </c>
      <c r="AQ13" s="32"/>
      <c r="AR13" s="61" t="s">
        <v>1220</v>
      </c>
      <c r="AS13" s="60">
        <v>8.47</v>
      </c>
      <c r="AT13" s="62"/>
      <c r="AU13" s="62"/>
      <c r="AV13" s="148"/>
      <c r="AW13" s="148"/>
      <c r="AX13" s="148"/>
      <c r="AY13" s="148"/>
      <c r="AZ13" s="23"/>
      <c r="BA13" s="176"/>
      <c r="BB13" s="177"/>
      <c r="BC13" s="32"/>
      <c r="BD13" s="148"/>
      <c r="BE13" s="32"/>
      <c r="BF13" s="32"/>
      <c r="BG13" s="41"/>
    </row>
    <row r="14" spans="1:59" ht="12.75">
      <c r="A14" s="42"/>
      <c r="B14" s="172"/>
      <c r="C14" s="173"/>
      <c r="D14" s="45"/>
      <c r="E14" s="98"/>
      <c r="F14" s="133"/>
      <c r="G14" s="100"/>
      <c r="H14" s="101"/>
      <c r="I14" s="44"/>
      <c r="J14" s="44"/>
      <c r="K14" s="134"/>
      <c r="L14" s="134"/>
      <c r="M14" s="152"/>
      <c r="N14" s="153"/>
      <c r="O14" s="154"/>
      <c r="P14" s="92"/>
      <c r="Q14" s="155"/>
      <c r="R14" s="156"/>
      <c r="S14" s="166"/>
      <c r="T14" s="157"/>
      <c r="U14" s="158"/>
      <c r="V14" s="159"/>
      <c r="W14" s="160"/>
      <c r="X14" s="160"/>
      <c r="Y14" s="161"/>
      <c r="Z14" s="161"/>
      <c r="AA14" s="161"/>
      <c r="AB14" s="29"/>
      <c r="AC14" s="147"/>
      <c r="AD14" s="139"/>
      <c r="AE14" s="41"/>
      <c r="AF14" s="41"/>
      <c r="AG14" s="41"/>
      <c r="AH14" s="32"/>
      <c r="AI14" s="148"/>
      <c r="AJ14" s="148"/>
      <c r="AK14" s="148"/>
      <c r="AL14" s="37" t="s">
        <v>1221</v>
      </c>
      <c r="AM14" s="59">
        <v>0.058</v>
      </c>
      <c r="AN14" s="148"/>
      <c r="AO14" s="37" t="s">
        <v>1222</v>
      </c>
      <c r="AP14" s="60">
        <v>26.71</v>
      </c>
      <c r="AQ14" s="32"/>
      <c r="AR14" s="61" t="s">
        <v>1223</v>
      </c>
      <c r="AS14" s="60">
        <v>1.13</v>
      </c>
      <c r="AT14" s="62"/>
      <c r="AU14" s="62"/>
      <c r="AV14" s="148"/>
      <c r="AW14" s="148"/>
      <c r="AX14" s="148"/>
      <c r="AY14" s="148"/>
      <c r="AZ14" s="148"/>
      <c r="BA14" s="148"/>
      <c r="BB14" s="32"/>
      <c r="BC14" s="32"/>
      <c r="BD14" s="148"/>
      <c r="BE14" s="32"/>
      <c r="BF14" s="32"/>
      <c r="BG14" s="41"/>
    </row>
    <row r="15" spans="1:59" ht="30" customHeight="1">
      <c r="A15" s="42"/>
      <c r="B15" s="172"/>
      <c r="C15" s="146" t="s">
        <v>1224</v>
      </c>
      <c r="D15" s="45"/>
      <c r="E15" s="98"/>
      <c r="F15" s="133"/>
      <c r="G15" s="100"/>
      <c r="H15" s="101"/>
      <c r="I15" s="44"/>
      <c r="J15" s="44"/>
      <c r="K15" s="134"/>
      <c r="L15" s="134"/>
      <c r="M15" s="152"/>
      <c r="N15" s="153"/>
      <c r="O15" s="154"/>
      <c r="P15" s="92"/>
      <c r="Q15" s="155"/>
      <c r="R15" s="156"/>
      <c r="S15" s="166"/>
      <c r="T15" s="157"/>
      <c r="U15" s="158"/>
      <c r="V15" s="159"/>
      <c r="W15" s="160"/>
      <c r="X15" s="160"/>
      <c r="Y15" s="161"/>
      <c r="Z15" s="161"/>
      <c r="AA15" s="161"/>
      <c r="AB15" s="29"/>
      <c r="AC15" s="147"/>
      <c r="AD15" s="139"/>
      <c r="AE15" s="41"/>
      <c r="AF15" s="41"/>
      <c r="AG15" s="41"/>
      <c r="AH15" s="32"/>
      <c r="AI15" s="148"/>
      <c r="AJ15" s="148"/>
      <c r="AK15" s="148"/>
      <c r="AL15" s="37" t="s">
        <v>1225</v>
      </c>
      <c r="AM15" s="178">
        <v>0.063</v>
      </c>
      <c r="AN15" s="148"/>
      <c r="AO15" s="37" t="s">
        <v>1226</v>
      </c>
      <c r="AP15" s="60">
        <v>15.24</v>
      </c>
      <c r="AQ15" s="32"/>
      <c r="AR15" s="37" t="s">
        <v>1227</v>
      </c>
      <c r="AS15" s="179">
        <v>2.54</v>
      </c>
      <c r="AT15" s="180"/>
      <c r="AU15" s="180"/>
      <c r="AV15" s="148"/>
      <c r="AW15" s="148"/>
      <c r="AX15" s="148"/>
      <c r="AY15" s="148"/>
      <c r="AZ15" s="148"/>
      <c r="BA15" s="148"/>
      <c r="BB15" s="32"/>
      <c r="BC15" s="32"/>
      <c r="BD15" s="148"/>
      <c r="BE15" s="32"/>
      <c r="BF15" s="32"/>
      <c r="BG15" s="41"/>
    </row>
    <row r="16" spans="1:59" ht="12.75">
      <c r="A16" s="42"/>
      <c r="B16" s="172"/>
      <c r="C16" s="146"/>
      <c r="D16" s="45"/>
      <c r="E16" s="98"/>
      <c r="F16" s="133"/>
      <c r="G16" s="100"/>
      <c r="H16" s="101"/>
      <c r="I16" s="44"/>
      <c r="J16" s="44"/>
      <c r="K16" s="134"/>
      <c r="L16" s="134"/>
      <c r="M16" s="152"/>
      <c r="N16" s="153"/>
      <c r="O16" s="154"/>
      <c r="P16" s="92"/>
      <c r="Q16" s="155"/>
      <c r="R16" s="156"/>
      <c r="S16" s="166"/>
      <c r="T16" s="157"/>
      <c r="U16" s="158"/>
      <c r="V16" s="159"/>
      <c r="W16" s="160"/>
      <c r="X16" s="160"/>
      <c r="Y16" s="161"/>
      <c r="Z16" s="161"/>
      <c r="AA16" s="161"/>
      <c r="AB16" s="29"/>
      <c r="AC16" s="147"/>
      <c r="AD16" s="139"/>
      <c r="AE16" s="41"/>
      <c r="AF16" s="41"/>
      <c r="AG16" s="41"/>
      <c r="AH16" s="32"/>
      <c r="AI16" s="148"/>
      <c r="AJ16" s="148"/>
      <c r="AK16" s="148"/>
      <c r="AL16" s="37" t="s">
        <v>1228</v>
      </c>
      <c r="AM16" s="181">
        <v>0.007</v>
      </c>
      <c r="AN16" s="148"/>
      <c r="AO16" s="37" t="s">
        <v>1229</v>
      </c>
      <c r="AP16" s="60">
        <v>45.73</v>
      </c>
      <c r="AQ16" s="32"/>
      <c r="AR16" s="37" t="s">
        <v>1230</v>
      </c>
      <c r="AS16" s="60">
        <v>4.68</v>
      </c>
      <c r="AT16" s="62"/>
      <c r="AU16" s="62"/>
      <c r="AV16" s="148"/>
      <c r="AW16" s="148"/>
      <c r="AX16" s="148"/>
      <c r="AY16" s="148"/>
      <c r="AZ16" s="148"/>
      <c r="BA16" s="148"/>
      <c r="BB16" s="32"/>
      <c r="BC16" s="32"/>
      <c r="BD16" s="148"/>
      <c r="BE16" s="32"/>
      <c r="BF16" s="32"/>
      <c r="BG16" s="41"/>
    </row>
    <row r="17" spans="1:59" ht="12.75">
      <c r="A17" s="42"/>
      <c r="B17" s="172"/>
      <c r="C17" s="146"/>
      <c r="D17" s="45"/>
      <c r="E17" s="98"/>
      <c r="F17" s="133"/>
      <c r="G17" s="100"/>
      <c r="H17" s="101"/>
      <c r="I17" s="44"/>
      <c r="J17" s="44"/>
      <c r="K17" s="134"/>
      <c r="L17" s="134"/>
      <c r="M17" s="152"/>
      <c r="N17" s="153"/>
      <c r="O17" s="154"/>
      <c r="P17" s="92"/>
      <c r="Q17" s="155"/>
      <c r="R17" s="156"/>
      <c r="S17" s="166"/>
      <c r="T17" s="157"/>
      <c r="U17" s="158"/>
      <c r="V17" s="159"/>
      <c r="W17" s="160"/>
      <c r="X17" s="160"/>
      <c r="Y17" s="161"/>
      <c r="Z17" s="161"/>
      <c r="AA17" s="161"/>
      <c r="AB17" s="29"/>
      <c r="AC17" s="147"/>
      <c r="AD17" s="139"/>
      <c r="AE17" s="41"/>
      <c r="AF17" s="41"/>
      <c r="AG17" s="41"/>
      <c r="AH17" s="32"/>
      <c r="AI17" s="148"/>
      <c r="AJ17" s="148"/>
      <c r="AK17" s="148"/>
      <c r="AL17" s="182" t="s">
        <v>1231</v>
      </c>
      <c r="AM17" s="181">
        <v>0.007</v>
      </c>
      <c r="AN17" s="148"/>
      <c r="AO17" s="37" t="s">
        <v>1232</v>
      </c>
      <c r="AP17" s="60">
        <v>91.47</v>
      </c>
      <c r="AQ17" s="32"/>
      <c r="AR17" s="37" t="s">
        <v>1233</v>
      </c>
      <c r="AS17" s="37">
        <v>1.8</v>
      </c>
      <c r="AT17" s="23"/>
      <c r="AU17" s="23"/>
      <c r="AV17" s="148"/>
      <c r="AW17" s="148"/>
      <c r="AX17" s="183"/>
      <c r="AY17" s="148"/>
      <c r="AZ17" s="148"/>
      <c r="BA17" s="184"/>
      <c r="BB17" s="32"/>
      <c r="BC17" s="32"/>
      <c r="BD17" s="148"/>
      <c r="BE17" s="32"/>
      <c r="BF17" s="32"/>
      <c r="BG17" s="41"/>
    </row>
    <row r="18" spans="1:59" ht="12.75">
      <c r="A18" s="42"/>
      <c r="B18" s="172"/>
      <c r="C18" s="173"/>
      <c r="D18" s="45"/>
      <c r="E18" s="98"/>
      <c r="F18" s="133"/>
      <c r="G18" s="100"/>
      <c r="H18" s="101"/>
      <c r="I18" s="44"/>
      <c r="J18" s="44"/>
      <c r="K18" s="134"/>
      <c r="L18" s="134"/>
      <c r="M18" s="152"/>
      <c r="N18" s="153"/>
      <c r="O18" s="154"/>
      <c r="P18" s="92"/>
      <c r="Q18" s="155"/>
      <c r="R18" s="156"/>
      <c r="S18" s="166"/>
      <c r="T18" s="157"/>
      <c r="U18" s="158"/>
      <c r="V18" s="159"/>
      <c r="W18" s="160"/>
      <c r="X18" s="160"/>
      <c r="Y18" s="161"/>
      <c r="Z18" s="161"/>
      <c r="AA18" s="161"/>
      <c r="AB18" s="29"/>
      <c r="AC18" s="147"/>
      <c r="AD18" s="139"/>
      <c r="AE18" s="41"/>
      <c r="AF18" s="41"/>
      <c r="AG18" s="41"/>
      <c r="AH18" s="32"/>
      <c r="AI18" s="148"/>
      <c r="AJ18" s="148"/>
      <c r="AK18" s="148"/>
      <c r="AL18" s="182" t="s">
        <v>1234</v>
      </c>
      <c r="AM18" s="181">
        <v>0.007</v>
      </c>
      <c r="AN18" s="148"/>
      <c r="AO18" s="37" t="s">
        <v>1235</v>
      </c>
      <c r="AP18" s="60">
        <v>60.98</v>
      </c>
      <c r="AQ18" s="32"/>
      <c r="AR18" s="37" t="s">
        <v>1236</v>
      </c>
      <c r="AS18" s="37">
        <v>24.54</v>
      </c>
      <c r="AT18" s="23"/>
      <c r="AU18" s="23"/>
      <c r="AV18" s="148"/>
      <c r="AW18" s="148"/>
      <c r="AX18" s="148"/>
      <c r="AY18" s="148"/>
      <c r="AZ18" s="148"/>
      <c r="BA18" s="184"/>
      <c r="BB18" s="32"/>
      <c r="BC18" s="32"/>
      <c r="BD18" s="148"/>
      <c r="BE18" s="32"/>
      <c r="BF18" s="32"/>
      <c r="BG18" s="41"/>
    </row>
    <row r="19" spans="1:59" ht="12.75">
      <c r="A19" s="42"/>
      <c r="B19" s="172"/>
      <c r="C19" s="170" t="s">
        <v>1237</v>
      </c>
      <c r="D19" s="45"/>
      <c r="E19" s="98"/>
      <c r="F19" s="133"/>
      <c r="G19" s="100"/>
      <c r="H19" s="101"/>
      <c r="I19" s="44"/>
      <c r="J19" s="44"/>
      <c r="K19" s="134"/>
      <c r="L19" s="134"/>
      <c r="M19" s="152"/>
      <c r="N19" s="153"/>
      <c r="O19" s="154"/>
      <c r="P19" s="92"/>
      <c r="Q19" s="155"/>
      <c r="R19" s="156"/>
      <c r="S19" s="166"/>
      <c r="T19" s="157"/>
      <c r="U19" s="158"/>
      <c r="V19" s="159"/>
      <c r="W19" s="160"/>
      <c r="X19" s="160"/>
      <c r="Y19" s="161"/>
      <c r="Z19" s="161"/>
      <c r="AA19" s="161"/>
      <c r="AB19" s="29"/>
      <c r="AC19" s="147"/>
      <c r="AD19" s="139"/>
      <c r="AE19" s="41"/>
      <c r="AF19" s="41"/>
      <c r="AG19" s="41"/>
      <c r="AH19" s="32"/>
      <c r="AI19" s="148"/>
      <c r="AJ19" s="148"/>
      <c r="AK19" s="148"/>
      <c r="AL19" s="182" t="s">
        <v>1238</v>
      </c>
      <c r="AM19" s="181">
        <v>0.065</v>
      </c>
      <c r="AN19" s="148"/>
      <c r="AO19" s="37" t="s">
        <v>1239</v>
      </c>
      <c r="AP19" s="60">
        <v>106.71</v>
      </c>
      <c r="AQ19" s="148"/>
      <c r="AR19" s="32"/>
      <c r="AS19" s="32"/>
      <c r="AT19" s="32"/>
      <c r="AU19" s="32"/>
      <c r="AV19" s="148"/>
      <c r="AW19" s="148"/>
      <c r="AX19" s="148"/>
      <c r="AY19" s="148"/>
      <c r="AZ19" s="148"/>
      <c r="BA19" s="148"/>
      <c r="BB19" s="32"/>
      <c r="BC19" s="32"/>
      <c r="BD19" s="148"/>
      <c r="BE19" s="32"/>
      <c r="BF19" s="32"/>
      <c r="BG19" s="41"/>
    </row>
    <row r="20" spans="1:59" ht="12.75">
      <c r="A20" s="42">
        <v>3</v>
      </c>
      <c r="B20" s="23" t="s">
        <v>1240</v>
      </c>
      <c r="C20" s="91" t="s">
        <v>1241</v>
      </c>
      <c r="D20" s="45" t="str">
        <f>P</f>
        <v>. . .</v>
      </c>
      <c r="E20" s="98">
        <v>0.03</v>
      </c>
      <c r="F20" s="133"/>
      <c r="G20" s="100"/>
      <c r="H20" s="101"/>
      <c r="I20" s="44" t="str">
        <f>R</f>
        <v>Réelle</v>
      </c>
      <c r="J20" s="44" t="s">
        <v>1242</v>
      </c>
      <c r="K20" s="185">
        <v>0.03</v>
      </c>
      <c r="L20" s="134"/>
      <c r="M20" s="152" t="str">
        <f>"(9)"</f>
        <v>(9)</v>
      </c>
      <c r="N20" s="153"/>
      <c r="O20" s="154" t="str">
        <f>P</f>
        <v>. . .</v>
      </c>
      <c r="P20" s="92" t="str">
        <f>P</f>
        <v>. . .</v>
      </c>
      <c r="Q20" s="92" t="str">
        <f>VI</f>
        <v>(25)</v>
      </c>
      <c r="R20" s="171" t="str">
        <f>VI</f>
        <v>(25)</v>
      </c>
      <c r="S20" s="166"/>
      <c r="W20" s="57" t="s">
        <v>1243</v>
      </c>
      <c r="X20" s="57"/>
      <c r="Y20" s="58">
        <v>4004</v>
      </c>
      <c r="Z20" s="58">
        <v>9348</v>
      </c>
      <c r="AA20" s="161">
        <v>9301</v>
      </c>
      <c r="AB20" s="29"/>
      <c r="AC20" s="147"/>
      <c r="AD20" s="139"/>
      <c r="AE20" s="41"/>
      <c r="AF20" s="41"/>
      <c r="AG20" s="41"/>
      <c r="AH20" s="32"/>
      <c r="AI20" s="148"/>
      <c r="AJ20" s="148"/>
      <c r="AK20" s="148"/>
      <c r="AL20" s="174" t="s">
        <v>1244</v>
      </c>
      <c r="AM20" s="186" t="s">
        <v>1245</v>
      </c>
      <c r="AN20" s="148"/>
      <c r="AO20" s="37" t="s">
        <v>1246</v>
      </c>
      <c r="AP20" s="60">
        <v>24.98</v>
      </c>
      <c r="AQ20" s="148"/>
      <c r="AR20" s="32"/>
      <c r="AS20" s="32"/>
      <c r="AT20" s="32"/>
      <c r="AU20" s="32"/>
      <c r="AV20" s="148"/>
      <c r="AW20" s="148"/>
      <c r="AX20" s="148"/>
      <c r="AY20" s="148"/>
      <c r="AZ20" s="148"/>
      <c r="BA20" s="148"/>
      <c r="BB20" s="32"/>
      <c r="BC20" s="32"/>
      <c r="BD20" s="148"/>
      <c r="BE20" s="32"/>
      <c r="BF20" s="32"/>
      <c r="BG20" s="41"/>
    </row>
    <row r="21" spans="1:59" ht="12.75">
      <c r="A21" s="42">
        <v>4</v>
      </c>
      <c r="B21" s="23" t="s">
        <v>1247</v>
      </c>
      <c r="C21" s="91" t="s">
        <v>1248</v>
      </c>
      <c r="D21" s="45" t="str">
        <f>P</f>
        <v>. . .</v>
      </c>
      <c r="E21" s="98" t="s">
        <v>1249</v>
      </c>
      <c r="F21" s="133"/>
      <c r="G21" s="100"/>
      <c r="H21" s="101"/>
      <c r="I21" s="44" t="str">
        <f>R</f>
        <v>Réelle</v>
      </c>
      <c r="J21" s="44" t="str">
        <f>P</f>
        <v>. . .</v>
      </c>
      <c r="K21" s="134" t="s">
        <v>1250</v>
      </c>
      <c r="L21" s="134"/>
      <c r="M21" s="152" t="s">
        <v>1251</v>
      </c>
      <c r="N21" s="153"/>
      <c r="O21" s="154" t="str">
        <f>P</f>
        <v>. . .</v>
      </c>
      <c r="P21" s="92" t="str">
        <f>P</f>
        <v>. . .</v>
      </c>
      <c r="Q21" s="92" t="str">
        <f>VI</f>
        <v>(25)</v>
      </c>
      <c r="R21" s="171" t="str">
        <f>VI</f>
        <v>(25)</v>
      </c>
      <c r="S21" s="154"/>
      <c r="V21" s="56"/>
      <c r="W21" s="57" t="s">
        <v>1252</v>
      </c>
      <c r="X21" s="57"/>
      <c r="Y21" s="58">
        <v>9301</v>
      </c>
      <c r="Z21" s="58"/>
      <c r="AA21" s="58"/>
      <c r="AB21" s="29"/>
      <c r="AC21" s="147"/>
      <c r="AD21" s="139"/>
      <c r="AE21" s="41"/>
      <c r="AF21" s="41"/>
      <c r="AG21" s="41"/>
      <c r="AH21" s="32"/>
      <c r="AI21" s="148"/>
      <c r="AJ21" s="148"/>
      <c r="AK21" s="148"/>
      <c r="AL21" s="187"/>
      <c r="AM21" s="188"/>
      <c r="AN21" s="148"/>
      <c r="AO21" s="148"/>
      <c r="AP21" s="148"/>
      <c r="AQ21" s="148"/>
      <c r="AR21" s="32"/>
      <c r="AS21" s="32"/>
      <c r="AT21" s="32"/>
      <c r="AU21" s="32"/>
      <c r="AV21" s="148"/>
      <c r="AW21" s="148"/>
      <c r="AX21" s="148"/>
      <c r="AY21" s="148"/>
      <c r="AZ21" s="148"/>
      <c r="BA21" s="148"/>
      <c r="BB21" s="32"/>
      <c r="BC21" s="32"/>
      <c r="BD21" s="148"/>
      <c r="BE21" s="148"/>
      <c r="BF21" s="148"/>
      <c r="BG21" s="41"/>
    </row>
    <row r="22" spans="1:59" ht="12.75">
      <c r="A22" s="42"/>
      <c r="B22" s="172"/>
      <c r="C22" s="189"/>
      <c r="D22" s="45"/>
      <c r="E22" s="98"/>
      <c r="F22" s="133"/>
      <c r="G22" s="100"/>
      <c r="H22" s="101"/>
      <c r="I22" s="44"/>
      <c r="J22" s="44"/>
      <c r="K22" s="134"/>
      <c r="L22" s="134"/>
      <c r="M22" s="152"/>
      <c r="N22" s="153"/>
      <c r="O22" s="154"/>
      <c r="P22" s="92"/>
      <c r="Q22" s="155"/>
      <c r="R22" s="156"/>
      <c r="S22" s="154"/>
      <c r="T22" s="157"/>
      <c r="U22" s="158"/>
      <c r="V22" s="159"/>
      <c r="W22" s="160"/>
      <c r="X22" s="160"/>
      <c r="Y22" s="161"/>
      <c r="Z22" s="161"/>
      <c r="AA22" s="58"/>
      <c r="AB22" s="29"/>
      <c r="AC22" s="147"/>
      <c r="AD22" s="139"/>
      <c r="AE22" s="41"/>
      <c r="AF22" s="41"/>
      <c r="AG22" s="41"/>
      <c r="AH22" s="32"/>
      <c r="AI22" s="148"/>
      <c r="AJ22" s="148"/>
      <c r="AK22" s="148"/>
      <c r="AL22" s="187"/>
      <c r="AM22" s="188"/>
      <c r="AN22" s="148"/>
      <c r="AO22" s="148"/>
      <c r="AP22" s="148"/>
      <c r="AQ22" s="148"/>
      <c r="AR22" s="32"/>
      <c r="AS22" s="32"/>
      <c r="AT22" s="32"/>
      <c r="AU22" s="32"/>
      <c r="AV22" s="148"/>
      <c r="AW22" s="148"/>
      <c r="AX22" s="148"/>
      <c r="AY22" s="148"/>
      <c r="AZ22" s="148"/>
      <c r="BA22" s="148"/>
      <c r="BB22" s="32"/>
      <c r="BC22" s="32"/>
      <c r="BD22" s="148"/>
      <c r="BE22" s="148"/>
      <c r="BF22" s="148"/>
      <c r="BG22" s="41"/>
    </row>
    <row r="23" spans="1:59" ht="12.75">
      <c r="A23" s="42"/>
      <c r="B23" s="172"/>
      <c r="C23" s="170" t="s">
        <v>1253</v>
      </c>
      <c r="D23" s="45"/>
      <c r="E23" s="98"/>
      <c r="F23" s="133"/>
      <c r="G23" s="100"/>
      <c r="H23" s="101"/>
      <c r="I23" s="44"/>
      <c r="J23" s="44"/>
      <c r="K23" s="134"/>
      <c r="L23" s="134"/>
      <c r="M23" s="152"/>
      <c r="N23" s="153"/>
      <c r="O23" s="154"/>
      <c r="P23" s="92"/>
      <c r="Q23" s="155"/>
      <c r="R23" s="156"/>
      <c r="S23" s="166"/>
      <c r="T23" s="157"/>
      <c r="U23" s="158"/>
      <c r="V23" s="159"/>
      <c r="W23" s="160"/>
      <c r="X23" s="160"/>
      <c r="Y23" s="161"/>
      <c r="Z23" s="161"/>
      <c r="AA23" s="161"/>
      <c r="AB23" s="29"/>
      <c r="AC23" s="147"/>
      <c r="AD23" s="139"/>
      <c r="AE23" s="41"/>
      <c r="AF23" s="41"/>
      <c r="AG23" s="41"/>
      <c r="AH23" s="32"/>
      <c r="AI23" s="148"/>
      <c r="AJ23" s="148"/>
      <c r="AK23" s="148"/>
      <c r="AL23" s="148"/>
      <c r="AM23" s="190"/>
      <c r="AN23" s="148"/>
      <c r="AO23" s="148"/>
      <c r="AP23" s="148"/>
      <c r="AQ23" s="148"/>
      <c r="AR23" s="32"/>
      <c r="AS23" s="32"/>
      <c r="AT23" s="32"/>
      <c r="AU23" s="32"/>
      <c r="AV23" s="148"/>
      <c r="AW23" s="148"/>
      <c r="AX23" s="148"/>
      <c r="AY23" s="148"/>
      <c r="AZ23" s="148"/>
      <c r="BA23" s="148"/>
      <c r="BB23" s="148"/>
      <c r="BC23" s="32"/>
      <c r="BD23" s="148"/>
      <c r="BE23" s="148"/>
      <c r="BF23" s="148"/>
      <c r="BG23" s="41"/>
    </row>
    <row r="24" spans="1:59" ht="12.75">
      <c r="A24" s="42">
        <v>5</v>
      </c>
      <c r="B24" s="23" t="s">
        <v>1254</v>
      </c>
      <c r="C24" s="91" t="s">
        <v>1255</v>
      </c>
      <c r="D24" s="45" t="str">
        <f>P</f>
        <v>. . .</v>
      </c>
      <c r="E24" s="98">
        <v>0.03</v>
      </c>
      <c r="F24" s="133"/>
      <c r="G24" s="100"/>
      <c r="H24" s="101"/>
      <c r="I24" s="44" t="str">
        <f>R</f>
        <v>Réelle</v>
      </c>
      <c r="J24" s="44" t="s">
        <v>1256</v>
      </c>
      <c r="K24" s="185">
        <v>0.03</v>
      </c>
      <c r="L24" s="134"/>
      <c r="M24" s="152" t="str">
        <f>"(9)"</f>
        <v>(9)</v>
      </c>
      <c r="N24" s="153"/>
      <c r="O24" s="154" t="str">
        <f>P</f>
        <v>. . .</v>
      </c>
      <c r="P24" s="92" t="str">
        <f>P</f>
        <v>. . .</v>
      </c>
      <c r="Q24" s="92" t="str">
        <f>VI</f>
        <v>(25)</v>
      </c>
      <c r="R24" s="171" t="str">
        <f>VI</f>
        <v>(25)</v>
      </c>
      <c r="S24" s="166"/>
      <c r="W24" s="57" t="str">
        <f>t</f>
        <v>TVO</v>
      </c>
      <c r="X24" s="57"/>
      <c r="Y24" s="58">
        <v>4004</v>
      </c>
      <c r="Z24" s="58">
        <v>9348</v>
      </c>
      <c r="AA24" s="161">
        <v>9301</v>
      </c>
      <c r="AB24" s="29"/>
      <c r="AC24" s="147"/>
      <c r="AD24" s="139"/>
      <c r="AE24" s="41"/>
      <c r="AF24" s="41"/>
      <c r="AG24" s="41"/>
      <c r="AH24" s="32"/>
      <c r="AI24" s="148"/>
      <c r="AJ24" s="148"/>
      <c r="AK24" s="148"/>
      <c r="AL24" s="148"/>
      <c r="AM24" s="148"/>
      <c r="AN24" s="148"/>
      <c r="AO24" s="148"/>
      <c r="AP24" s="148"/>
      <c r="AQ24" s="148"/>
      <c r="AR24" s="32"/>
      <c r="AS24" s="32"/>
      <c r="AT24" s="32"/>
      <c r="AU24" s="32"/>
      <c r="AV24" s="148"/>
      <c r="AW24" s="148"/>
      <c r="AX24" s="148"/>
      <c r="AY24" s="148"/>
      <c r="AZ24" s="148"/>
      <c r="BA24" s="148"/>
      <c r="BB24" s="148"/>
      <c r="BC24" s="32"/>
      <c r="BD24" s="148"/>
      <c r="BE24" s="148"/>
      <c r="BF24" s="148"/>
      <c r="BG24" s="41"/>
    </row>
    <row r="25" spans="1:59" ht="12.75">
      <c r="A25" s="42">
        <v>6</v>
      </c>
      <c r="B25" s="23" t="s">
        <v>1257</v>
      </c>
      <c r="C25" s="91" t="s">
        <v>1258</v>
      </c>
      <c r="D25" s="45" t="str">
        <f>P</f>
        <v>. . .</v>
      </c>
      <c r="E25" s="98" t="s">
        <v>1259</v>
      </c>
      <c r="F25" s="133"/>
      <c r="G25" s="100"/>
      <c r="H25" s="101"/>
      <c r="I25" s="44" t="str">
        <f>R</f>
        <v>Réelle</v>
      </c>
      <c r="J25" s="44" t="str">
        <f>P</f>
        <v>. . .</v>
      </c>
      <c r="K25" s="134" t="s">
        <v>1260</v>
      </c>
      <c r="L25" s="134"/>
      <c r="M25" s="152" t="s">
        <v>1261</v>
      </c>
      <c r="N25" s="153"/>
      <c r="O25" s="154" t="str">
        <f>P</f>
        <v>. . .</v>
      </c>
      <c r="P25" s="92" t="str">
        <f>P</f>
        <v>. . .</v>
      </c>
      <c r="Q25" s="92" t="str">
        <f>VI</f>
        <v>(25)</v>
      </c>
      <c r="R25" s="171" t="str">
        <f>VI</f>
        <v>(25)</v>
      </c>
      <c r="S25" s="154"/>
      <c r="V25" s="56"/>
      <c r="W25" s="57" t="str">
        <f>t</f>
        <v>TVO</v>
      </c>
      <c r="X25" s="57"/>
      <c r="Y25" s="58">
        <v>9301</v>
      </c>
      <c r="Z25" s="58"/>
      <c r="AA25" s="58"/>
      <c r="AB25" s="29"/>
      <c r="AC25" s="147"/>
      <c r="AD25" s="139"/>
      <c r="AE25" s="41"/>
      <c r="AF25" s="41"/>
      <c r="AG25" s="41"/>
      <c r="AH25" s="32"/>
      <c r="AI25" s="148"/>
      <c r="AJ25" s="148"/>
      <c r="AK25" s="148"/>
      <c r="AL25" s="148"/>
      <c r="AM25" s="148"/>
      <c r="AN25" s="148"/>
      <c r="AO25" s="148"/>
      <c r="AP25" s="148"/>
      <c r="AQ25" s="148"/>
      <c r="AR25" s="32"/>
      <c r="AS25" s="32"/>
      <c r="AT25" s="32"/>
      <c r="AU25" s="32"/>
      <c r="AV25" s="148"/>
      <c r="AW25" s="148"/>
      <c r="AX25" s="148"/>
      <c r="AY25" s="148"/>
      <c r="AZ25" s="148"/>
      <c r="BA25" s="148"/>
      <c r="BB25" s="148"/>
      <c r="BC25" s="32"/>
      <c r="BD25" s="148"/>
      <c r="BE25" s="148"/>
      <c r="BF25" s="148"/>
      <c r="BG25" s="41"/>
    </row>
    <row r="26" spans="1:59" ht="12.75">
      <c r="A26" s="42"/>
      <c r="B26" s="172"/>
      <c r="C26" s="189"/>
      <c r="D26" s="45"/>
      <c r="E26" s="98"/>
      <c r="F26" s="133"/>
      <c r="G26" s="100"/>
      <c r="H26" s="101"/>
      <c r="I26" s="44"/>
      <c r="J26" s="44"/>
      <c r="K26" s="134"/>
      <c r="L26" s="134"/>
      <c r="M26" s="152"/>
      <c r="N26" s="153"/>
      <c r="O26" s="154"/>
      <c r="P26" s="92"/>
      <c r="Q26" s="155"/>
      <c r="R26" s="156"/>
      <c r="S26" s="154"/>
      <c r="T26" s="157"/>
      <c r="U26" s="158"/>
      <c r="V26" s="159"/>
      <c r="W26" s="160"/>
      <c r="X26" s="160"/>
      <c r="Y26" s="161"/>
      <c r="Z26" s="161"/>
      <c r="AA26" s="58"/>
      <c r="AB26" s="29"/>
      <c r="AC26" s="147"/>
      <c r="AD26" s="139"/>
      <c r="AE26" s="41"/>
      <c r="AF26" s="41"/>
      <c r="AG26" s="41"/>
      <c r="AH26" s="32"/>
      <c r="AI26" s="148"/>
      <c r="AJ26" s="148"/>
      <c r="AK26" s="148"/>
      <c r="AL26" s="148"/>
      <c r="AM26" s="148"/>
      <c r="AN26" s="148"/>
      <c r="AO26" s="148"/>
      <c r="AP26" s="148"/>
      <c r="AQ26" s="148"/>
      <c r="AR26" s="32"/>
      <c r="AS26" s="32"/>
      <c r="AT26" s="32"/>
      <c r="AU26" s="32"/>
      <c r="AV26" s="148"/>
      <c r="AW26" s="148"/>
      <c r="AX26" s="148"/>
      <c r="AY26" s="148"/>
      <c r="AZ26" s="148"/>
      <c r="BA26" s="148"/>
      <c r="BB26" s="148"/>
      <c r="BC26" s="32"/>
      <c r="BD26" s="148"/>
      <c r="BE26" s="148"/>
      <c r="BF26" s="148"/>
      <c r="BG26" s="41"/>
    </row>
    <row r="27" spans="1:59" ht="12.75">
      <c r="A27" s="42"/>
      <c r="B27" s="172"/>
      <c r="C27" s="170" t="s">
        <v>1262</v>
      </c>
      <c r="D27" s="45"/>
      <c r="E27" s="98"/>
      <c r="F27" s="133"/>
      <c r="G27" s="100"/>
      <c r="H27" s="101"/>
      <c r="I27" s="44"/>
      <c r="J27" s="44"/>
      <c r="K27" s="134"/>
      <c r="L27" s="134"/>
      <c r="M27" s="152"/>
      <c r="N27" s="153"/>
      <c r="O27" s="154"/>
      <c r="P27" s="92"/>
      <c r="Q27" s="155"/>
      <c r="R27" s="156"/>
      <c r="S27" s="166"/>
      <c r="T27" s="157"/>
      <c r="U27" s="158"/>
      <c r="V27" s="159"/>
      <c r="W27" s="160"/>
      <c r="X27" s="160"/>
      <c r="Y27" s="161"/>
      <c r="Z27" s="161"/>
      <c r="AA27" s="161"/>
      <c r="AB27" s="29"/>
      <c r="AC27" s="147"/>
      <c r="AD27" s="139"/>
      <c r="AE27" s="41"/>
      <c r="AF27" s="41"/>
      <c r="AG27" s="41"/>
      <c r="AH27" s="32"/>
      <c r="AI27" s="148"/>
      <c r="AJ27" s="148"/>
      <c r="AK27" s="148"/>
      <c r="AL27" s="148"/>
      <c r="AM27" s="148"/>
      <c r="AN27" s="148"/>
      <c r="AO27" s="148"/>
      <c r="AP27" s="148"/>
      <c r="AQ27" s="148"/>
      <c r="AR27" s="32"/>
      <c r="AS27" s="32"/>
      <c r="AT27" s="32"/>
      <c r="AU27" s="32"/>
      <c r="AV27" s="148"/>
      <c r="AW27" s="148"/>
      <c r="AX27" s="148"/>
      <c r="AY27" s="148"/>
      <c r="AZ27" s="148"/>
      <c r="BA27" s="148"/>
      <c r="BB27" s="148"/>
      <c r="BC27" s="32"/>
      <c r="BD27" s="148"/>
      <c r="BE27" s="148"/>
      <c r="BF27" s="148"/>
      <c r="BG27" s="41"/>
    </row>
    <row r="28" spans="1:59" ht="12.75">
      <c r="A28" s="42">
        <v>7</v>
      </c>
      <c r="B28" s="23" t="s">
        <v>1263</v>
      </c>
      <c r="C28" s="91" t="s">
        <v>1264</v>
      </c>
      <c r="D28" s="45" t="str">
        <f>P</f>
        <v>. . .</v>
      </c>
      <c r="E28" s="98">
        <v>0.03</v>
      </c>
      <c r="F28" s="133"/>
      <c r="G28" s="100"/>
      <c r="H28" s="101"/>
      <c r="I28" s="44" t="str">
        <f>R</f>
        <v>Réelle</v>
      </c>
      <c r="J28" s="44" t="s">
        <v>1265</v>
      </c>
      <c r="K28" s="185">
        <v>0.03</v>
      </c>
      <c r="L28" s="134"/>
      <c r="M28" s="152" t="str">
        <f>"(9)"</f>
        <v>(9)</v>
      </c>
      <c r="N28" s="153"/>
      <c r="O28" s="154" t="str">
        <f>P</f>
        <v>. . .</v>
      </c>
      <c r="P28" s="92" t="str">
        <f>P</f>
        <v>. . .</v>
      </c>
      <c r="Q28" s="92" t="str">
        <f>VI</f>
        <v>(25)</v>
      </c>
      <c r="R28" s="171" t="str">
        <f>VI</f>
        <v>(25)</v>
      </c>
      <c r="S28" s="166"/>
      <c r="W28" s="57" t="str">
        <f>t</f>
        <v>TVO</v>
      </c>
      <c r="X28" s="57"/>
      <c r="Y28" s="58">
        <v>4004</v>
      </c>
      <c r="Z28" s="58">
        <v>9348</v>
      </c>
      <c r="AA28" s="161">
        <v>9301</v>
      </c>
      <c r="AB28" s="29"/>
      <c r="AC28" s="147"/>
      <c r="AD28" s="139"/>
      <c r="AE28" s="41"/>
      <c r="AF28" s="41"/>
      <c r="AG28" s="41"/>
      <c r="AH28" s="32"/>
      <c r="AI28" s="148"/>
      <c r="AJ28" s="148"/>
      <c r="AK28" s="148"/>
      <c r="AL28" s="148"/>
      <c r="AM28" s="148"/>
      <c r="AN28" s="148"/>
      <c r="AO28" s="148"/>
      <c r="AP28" s="148"/>
      <c r="AQ28" s="148"/>
      <c r="AR28" s="32"/>
      <c r="AS28" s="32"/>
      <c r="AT28" s="32"/>
      <c r="AU28" s="32"/>
      <c r="AV28" s="148"/>
      <c r="AW28" s="148"/>
      <c r="AX28" s="148"/>
      <c r="AY28" s="148"/>
      <c r="AZ28" s="148"/>
      <c r="BA28" s="148"/>
      <c r="BB28" s="148"/>
      <c r="BC28" s="32"/>
      <c r="BD28" s="148"/>
      <c r="BE28" s="148"/>
      <c r="BF28" s="148"/>
      <c r="BG28" s="41"/>
    </row>
    <row r="29" spans="1:59" ht="12.75">
      <c r="A29" s="42">
        <v>8</v>
      </c>
      <c r="B29" s="23" t="s">
        <v>1266</v>
      </c>
      <c r="C29" s="91" t="s">
        <v>1267</v>
      </c>
      <c r="D29" s="45" t="str">
        <f>P</f>
        <v>. . .</v>
      </c>
      <c r="E29" s="98" t="s">
        <v>1268</v>
      </c>
      <c r="F29" s="133"/>
      <c r="G29" s="100"/>
      <c r="H29" s="101"/>
      <c r="I29" s="44" t="str">
        <f>R</f>
        <v>Réelle</v>
      </c>
      <c r="J29" s="44" t="str">
        <f>P</f>
        <v>. . .</v>
      </c>
      <c r="K29" s="134" t="s">
        <v>1269</v>
      </c>
      <c r="L29" s="134"/>
      <c r="M29" s="152" t="s">
        <v>1270</v>
      </c>
      <c r="N29" s="153"/>
      <c r="O29" s="154" t="str">
        <f>P</f>
        <v>. . .</v>
      </c>
      <c r="P29" s="92" t="str">
        <f>P</f>
        <v>. . .</v>
      </c>
      <c r="Q29" s="92" t="str">
        <f>VI</f>
        <v>(25)</v>
      </c>
      <c r="R29" s="171" t="str">
        <f>VI</f>
        <v>(25)</v>
      </c>
      <c r="S29" s="154"/>
      <c r="V29" s="56"/>
      <c r="W29" s="57" t="str">
        <f>t</f>
        <v>TVO</v>
      </c>
      <c r="X29" s="57"/>
      <c r="Y29" s="58">
        <v>9301</v>
      </c>
      <c r="Z29" s="58"/>
      <c r="AA29" s="58"/>
      <c r="AB29" s="29"/>
      <c r="AC29" s="147"/>
      <c r="AD29" s="139"/>
      <c r="AE29" s="41"/>
      <c r="AF29" s="41"/>
      <c r="AG29" s="41"/>
      <c r="AH29" s="32"/>
      <c r="AI29" s="148"/>
      <c r="AJ29" s="148"/>
      <c r="AK29" s="148"/>
      <c r="AL29" s="148"/>
      <c r="AM29" s="148"/>
      <c r="AN29" s="148"/>
      <c r="AO29" s="148"/>
      <c r="AP29" s="148"/>
      <c r="AQ29" s="148"/>
      <c r="AR29" s="32"/>
      <c r="AS29" s="32"/>
      <c r="AT29" s="32"/>
      <c r="AU29" s="32"/>
      <c r="AV29" s="148"/>
      <c r="AW29" s="148"/>
      <c r="AX29" s="148"/>
      <c r="AY29" s="148"/>
      <c r="AZ29" s="148"/>
      <c r="BA29" s="148"/>
      <c r="BB29" s="148"/>
      <c r="BC29" s="32"/>
      <c r="BD29" s="148"/>
      <c r="BE29" s="148"/>
      <c r="BF29" s="148"/>
      <c r="BG29" s="41"/>
    </row>
    <row r="30" spans="1:59" ht="12.75">
      <c r="A30" s="42"/>
      <c r="B30" s="172"/>
      <c r="C30" s="91"/>
      <c r="D30" s="45"/>
      <c r="E30" s="98"/>
      <c r="F30" s="133"/>
      <c r="G30" s="100"/>
      <c r="H30" s="101"/>
      <c r="I30" s="44"/>
      <c r="J30" s="44"/>
      <c r="K30" s="134"/>
      <c r="L30" s="134"/>
      <c r="M30" s="152"/>
      <c r="N30" s="153"/>
      <c r="O30" s="154"/>
      <c r="P30" s="92"/>
      <c r="Q30" s="155"/>
      <c r="R30" s="156"/>
      <c r="S30" s="154"/>
      <c r="T30" s="157"/>
      <c r="U30" s="158"/>
      <c r="V30" s="159"/>
      <c r="W30" s="160"/>
      <c r="X30" s="160"/>
      <c r="Y30" s="161"/>
      <c r="Z30" s="161"/>
      <c r="AA30" s="58"/>
      <c r="AB30" s="29"/>
      <c r="AC30" s="147"/>
      <c r="AD30" s="139"/>
      <c r="AE30" s="41"/>
      <c r="AF30" s="41"/>
      <c r="AG30" s="41"/>
      <c r="AH30" s="32"/>
      <c r="AI30" s="148"/>
      <c r="AJ30" s="148"/>
      <c r="AK30" s="148"/>
      <c r="AL30" s="148"/>
      <c r="AM30" s="148"/>
      <c r="AN30" s="148"/>
      <c r="AO30" s="148"/>
      <c r="AP30" s="148"/>
      <c r="AQ30" s="148"/>
      <c r="AR30" s="32"/>
      <c r="AS30" s="32"/>
      <c r="AT30" s="32"/>
      <c r="AU30" s="32"/>
      <c r="AV30" s="148"/>
      <c r="AW30" s="148"/>
      <c r="AX30" s="148"/>
      <c r="AY30" s="148"/>
      <c r="AZ30" s="148"/>
      <c r="BA30" s="148"/>
      <c r="BB30" s="148"/>
      <c r="BC30" s="32"/>
      <c r="BD30" s="148"/>
      <c r="BE30" s="148"/>
      <c r="BF30" s="148"/>
      <c r="BG30" s="41"/>
    </row>
    <row r="31" spans="1:59" ht="12.75">
      <c r="A31" s="42"/>
      <c r="B31" s="172"/>
      <c r="C31" s="91"/>
      <c r="D31" s="45"/>
      <c r="E31" s="98"/>
      <c r="F31" s="133"/>
      <c r="G31" s="100"/>
      <c r="H31" s="101"/>
      <c r="I31" s="44"/>
      <c r="J31" s="44"/>
      <c r="K31" s="134"/>
      <c r="L31" s="134"/>
      <c r="M31" s="152"/>
      <c r="N31" s="153"/>
      <c r="O31" s="154"/>
      <c r="P31" s="92"/>
      <c r="Q31" s="155"/>
      <c r="R31" s="156"/>
      <c r="S31" s="166"/>
      <c r="T31" s="157"/>
      <c r="U31" s="158"/>
      <c r="V31" s="159"/>
      <c r="W31" s="160"/>
      <c r="X31" s="160"/>
      <c r="Y31" s="161"/>
      <c r="Z31" s="161"/>
      <c r="AA31" s="161"/>
      <c r="AB31" s="29"/>
      <c r="AC31" s="147"/>
      <c r="AD31" s="139"/>
      <c r="AE31" s="41"/>
      <c r="AF31" s="41"/>
      <c r="AG31" s="41"/>
      <c r="AH31" s="32"/>
      <c r="AI31" s="148"/>
      <c r="AJ31" s="148"/>
      <c r="AK31" s="148"/>
      <c r="AL31" s="148"/>
      <c r="AM31" s="148"/>
      <c r="AN31" s="148"/>
      <c r="AO31" s="148"/>
      <c r="AP31" s="148"/>
      <c r="AQ31" s="148"/>
      <c r="AR31" s="32"/>
      <c r="AS31" s="32"/>
      <c r="AT31" s="32"/>
      <c r="AU31" s="32"/>
      <c r="AV31" s="148"/>
      <c r="AW31" s="148"/>
      <c r="AX31" s="148"/>
      <c r="AY31" s="148"/>
      <c r="AZ31" s="148"/>
      <c r="BA31" s="148"/>
      <c r="BB31" s="148"/>
      <c r="BC31" s="32"/>
      <c r="BD31" s="148"/>
      <c r="BE31" s="148"/>
      <c r="BF31" s="148"/>
      <c r="BG31" s="41"/>
    </row>
    <row r="32" spans="1:59" ht="18">
      <c r="A32" s="42"/>
      <c r="B32" s="172"/>
      <c r="C32" s="191" t="s">
        <v>1271</v>
      </c>
      <c r="D32" s="45"/>
      <c r="E32" s="98"/>
      <c r="F32" s="133"/>
      <c r="G32" s="100"/>
      <c r="H32" s="101"/>
      <c r="I32" s="44"/>
      <c r="J32" s="44"/>
      <c r="K32" s="134"/>
      <c r="L32" s="134"/>
      <c r="M32" s="152"/>
      <c r="N32" s="153"/>
      <c r="O32" s="154"/>
      <c r="P32" s="92"/>
      <c r="Q32" s="155"/>
      <c r="R32" s="156"/>
      <c r="S32" s="166"/>
      <c r="T32" s="157"/>
      <c r="U32" s="158"/>
      <c r="V32" s="159"/>
      <c r="W32" s="160"/>
      <c r="X32" s="160"/>
      <c r="Y32" s="161"/>
      <c r="Z32" s="161"/>
      <c r="AA32" s="161"/>
      <c r="AB32" s="29"/>
      <c r="AC32" s="147"/>
      <c r="AD32" s="139"/>
      <c r="AE32" s="41"/>
      <c r="AF32" s="41"/>
      <c r="AG32" s="41"/>
      <c r="AH32" s="32"/>
      <c r="AI32" s="148"/>
      <c r="AJ32" s="148"/>
      <c r="AK32" s="148"/>
      <c r="AL32" s="148"/>
      <c r="AM32" s="148"/>
      <c r="AN32" s="148"/>
      <c r="AO32" s="148"/>
      <c r="AP32" s="148"/>
      <c r="AQ32" s="148"/>
      <c r="AR32" s="32"/>
      <c r="AS32" s="32"/>
      <c r="AT32" s="32"/>
      <c r="AU32" s="32"/>
      <c r="AV32" s="148"/>
      <c r="AW32" s="148"/>
      <c r="AX32" s="148"/>
      <c r="AY32" s="148"/>
      <c r="AZ32" s="148"/>
      <c r="BA32" s="148"/>
      <c r="BB32" s="148"/>
      <c r="BC32" s="32"/>
      <c r="BD32" s="148"/>
      <c r="BE32" s="148"/>
      <c r="BF32" s="148"/>
      <c r="BG32" s="41"/>
    </row>
    <row r="33" spans="1:59" ht="12.75">
      <c r="A33" s="42"/>
      <c r="B33" s="172"/>
      <c r="C33" s="192"/>
      <c r="D33" s="45"/>
      <c r="E33" s="98"/>
      <c r="F33" s="133"/>
      <c r="G33" s="100"/>
      <c r="H33" s="101"/>
      <c r="I33" s="44"/>
      <c r="J33" s="44"/>
      <c r="K33" s="134"/>
      <c r="L33" s="134"/>
      <c r="M33" s="152"/>
      <c r="N33" s="153"/>
      <c r="O33" s="154"/>
      <c r="P33" s="92"/>
      <c r="Q33" s="155"/>
      <c r="R33" s="156"/>
      <c r="S33" s="166"/>
      <c r="T33" s="157"/>
      <c r="U33" s="158"/>
      <c r="V33" s="159"/>
      <c r="W33" s="160"/>
      <c r="X33" s="160"/>
      <c r="Y33" s="161"/>
      <c r="Z33" s="161"/>
      <c r="AA33" s="161"/>
      <c r="AB33" s="29"/>
      <c r="AC33" s="147"/>
      <c r="AD33" s="139"/>
      <c r="AE33" s="41"/>
      <c r="AF33" s="41"/>
      <c r="AG33" s="41"/>
      <c r="AH33" s="32"/>
      <c r="AI33" s="148"/>
      <c r="AJ33" s="148"/>
      <c r="AK33" s="148"/>
      <c r="AL33" s="148"/>
      <c r="AM33" s="148"/>
      <c r="AN33" s="148"/>
      <c r="AO33" s="148"/>
      <c r="AP33" s="148"/>
      <c r="AQ33" s="148"/>
      <c r="AR33" s="32"/>
      <c r="AS33" s="32"/>
      <c r="AT33" s="32"/>
      <c r="AU33" s="32"/>
      <c r="AV33" s="148"/>
      <c r="AW33" s="148"/>
      <c r="AX33" s="148"/>
      <c r="AY33" s="148"/>
      <c r="AZ33" s="148"/>
      <c r="BA33" s="148"/>
      <c r="BB33" s="148"/>
      <c r="BC33" s="32"/>
      <c r="BD33" s="148"/>
      <c r="BE33" s="148"/>
      <c r="BF33" s="148"/>
      <c r="BG33" s="41"/>
    </row>
    <row r="34" spans="1:59" ht="12.75">
      <c r="A34" s="42"/>
      <c r="B34" s="23"/>
      <c r="C34" s="193" t="s">
        <v>1272</v>
      </c>
      <c r="D34" s="45"/>
      <c r="E34" s="98"/>
      <c r="F34" s="133"/>
      <c r="G34" s="100"/>
      <c r="H34" s="101"/>
      <c r="I34" s="44"/>
      <c r="J34" s="44"/>
      <c r="K34" s="134"/>
      <c r="L34" s="134"/>
      <c r="M34" s="152"/>
      <c r="N34" s="153"/>
      <c r="O34" s="154"/>
      <c r="P34" s="155"/>
      <c r="Q34" s="137"/>
      <c r="R34" s="138"/>
      <c r="S34" s="166"/>
      <c r="T34" s="157"/>
      <c r="U34" s="158"/>
      <c r="V34" s="159"/>
      <c r="W34" s="160"/>
      <c r="X34" s="160"/>
      <c r="Y34" s="161"/>
      <c r="Z34" s="161"/>
      <c r="AA34" s="161"/>
      <c r="AB34" s="29"/>
      <c r="AC34" s="147"/>
      <c r="AD34" s="139"/>
      <c r="AE34" s="41"/>
      <c r="AF34" s="41"/>
      <c r="AG34" s="41"/>
      <c r="AH34" s="32"/>
      <c r="AI34" s="148"/>
      <c r="AJ34" s="148"/>
      <c r="AK34" s="148"/>
      <c r="AL34" s="148"/>
      <c r="AM34" s="148"/>
      <c r="AN34" s="148"/>
      <c r="AO34" s="148"/>
      <c r="AP34" s="148"/>
      <c r="AQ34" s="148"/>
      <c r="AR34" s="32"/>
      <c r="AS34" s="32"/>
      <c r="AT34" s="32"/>
      <c r="AU34" s="32"/>
      <c r="AV34" s="148"/>
      <c r="AW34" s="148"/>
      <c r="AX34" s="148"/>
      <c r="AY34" s="148"/>
      <c r="AZ34" s="148"/>
      <c r="BA34" s="148"/>
      <c r="BB34" s="148"/>
      <c r="BC34" s="32"/>
      <c r="BD34" s="148"/>
      <c r="BE34" s="148"/>
      <c r="BF34" s="148"/>
      <c r="BG34" s="41"/>
    </row>
    <row r="35" spans="1:59" ht="12.75">
      <c r="A35" s="42">
        <v>9</v>
      </c>
      <c r="B35" s="23" t="s">
        <v>1273</v>
      </c>
      <c r="C35" s="193" t="s">
        <v>1274</v>
      </c>
      <c r="D35" s="44" t="str">
        <f>P</f>
        <v>. . .</v>
      </c>
      <c r="E35" s="98">
        <f>TEC2707</f>
        <v>0.03</v>
      </c>
      <c r="F35" s="133"/>
      <c r="G35" s="194"/>
      <c r="H35" s="43"/>
      <c r="I35" s="44">
        <f>vfspb</f>
        <v>27.49</v>
      </c>
      <c r="J35" s="44" t="s">
        <v>1275</v>
      </c>
      <c r="K35" s="166">
        <f>ROUND(I35*TEC2707,2)</f>
        <v>0.82</v>
      </c>
      <c r="L35" s="133"/>
      <c r="M35" s="152">
        <f>TISP</f>
        <v>58.92</v>
      </c>
      <c r="N35" s="153"/>
      <c r="O35" s="154" t="str">
        <f aca="true" t="shared" si="0" ref="O35:P37">P</f>
        <v>. . .</v>
      </c>
      <c r="P35" s="92" t="str">
        <f t="shared" si="0"/>
        <v>. . .</v>
      </c>
      <c r="Q35" s="155">
        <f>TVAcondM</f>
        <v>16.93636</v>
      </c>
      <c r="R35" s="156">
        <f>TVAcondC</f>
        <v>11.2333</v>
      </c>
      <c r="S35" s="166"/>
      <c r="T35" s="24">
        <v>5734</v>
      </c>
      <c r="U35" s="25"/>
      <c r="W35" s="195">
        <v>5903</v>
      </c>
      <c r="X35" s="195"/>
      <c r="Y35" s="28">
        <v>9348</v>
      </c>
      <c r="Z35" s="28">
        <v>9301</v>
      </c>
      <c r="AA35" s="161"/>
      <c r="AB35" s="29"/>
      <c r="AC35" s="147"/>
      <c r="AD35" s="139"/>
      <c r="AE35" s="41"/>
      <c r="AF35" s="41"/>
      <c r="AG35" s="41"/>
      <c r="AH35" s="32"/>
      <c r="AI35" s="148"/>
      <c r="AJ35" s="148"/>
      <c r="AK35" s="148"/>
      <c r="AL35" s="148"/>
      <c r="AM35" s="148"/>
      <c r="AN35" s="148"/>
      <c r="AO35" s="148"/>
      <c r="AP35" s="148"/>
      <c r="AQ35" s="148"/>
      <c r="AR35" s="148"/>
      <c r="AS35" s="148"/>
      <c r="AT35" s="148"/>
      <c r="AU35" s="148"/>
      <c r="AV35" s="148"/>
      <c r="AW35" s="148"/>
      <c r="AX35" s="148"/>
      <c r="AY35" s="148"/>
      <c r="AZ35" s="148"/>
      <c r="BA35" s="148"/>
      <c r="BB35" s="148"/>
      <c r="BC35" s="32"/>
      <c r="BD35" s="148"/>
      <c r="BE35" s="148"/>
      <c r="BF35" s="148"/>
      <c r="BG35" s="41"/>
    </row>
    <row r="36" spans="1:59" ht="12.75">
      <c r="A36" s="42">
        <v>10</v>
      </c>
      <c r="B36" s="23" t="s">
        <v>1276</v>
      </c>
      <c r="C36" s="193" t="s">
        <v>1277</v>
      </c>
      <c r="D36" s="44" t="str">
        <f>P</f>
        <v>. . .</v>
      </c>
      <c r="E36" s="98">
        <f>TEC2707</f>
        <v>0.03</v>
      </c>
      <c r="F36" s="133"/>
      <c r="G36" s="194"/>
      <c r="H36" s="43"/>
      <c r="I36" s="44">
        <f>VFGO</f>
        <v>26.37</v>
      </c>
      <c r="J36" s="44" t="s">
        <v>1278</v>
      </c>
      <c r="K36" s="166">
        <f>ROUND(I36*TEC2707,2)</f>
        <v>0.79</v>
      </c>
      <c r="L36" s="133"/>
      <c r="M36" s="62">
        <f>TIGO</f>
        <v>41.69</v>
      </c>
      <c r="N36" s="153"/>
      <c r="O36" s="154" t="str">
        <f t="shared" si="0"/>
        <v>. . .</v>
      </c>
      <c r="P36" s="92" t="str">
        <f t="shared" si="0"/>
        <v>. . .</v>
      </c>
      <c r="Q36" s="155">
        <f>TVAGOMETRO</f>
        <v>13.339760000000002</v>
      </c>
      <c r="R36" s="196">
        <f>TVAGOCORSE</f>
        <v>8.847800000000001</v>
      </c>
      <c r="S36" s="23"/>
      <c r="T36" s="157">
        <v>5731</v>
      </c>
      <c r="U36" s="158"/>
      <c r="W36" s="167">
        <v>5938</v>
      </c>
      <c r="X36" s="167"/>
      <c r="Y36" s="161">
        <v>9348</v>
      </c>
      <c r="Z36" s="161">
        <v>9301</v>
      </c>
      <c r="AA36" s="28"/>
      <c r="AB36" s="29"/>
      <c r="AC36" s="147"/>
      <c r="AD36" s="139"/>
      <c r="AE36" s="41"/>
      <c r="AF36" s="41"/>
      <c r="AG36" s="41"/>
      <c r="AH36" s="32"/>
      <c r="AI36" s="148"/>
      <c r="AJ36" s="148"/>
      <c r="AK36" s="148"/>
      <c r="AL36" s="148"/>
      <c r="AM36" s="148"/>
      <c r="AN36" s="148"/>
      <c r="AO36" s="148"/>
      <c r="AP36" s="148"/>
      <c r="AQ36" s="148"/>
      <c r="AR36" s="148"/>
      <c r="AS36" s="148"/>
      <c r="AT36" s="148"/>
      <c r="AU36" s="148"/>
      <c r="AV36" s="148"/>
      <c r="AW36" s="148"/>
      <c r="AX36" s="148"/>
      <c r="AY36" s="148"/>
      <c r="AZ36" s="148"/>
      <c r="BA36" s="148"/>
      <c r="BB36" s="148"/>
      <c r="BC36" s="32"/>
      <c r="BD36" s="148"/>
      <c r="BE36" s="148"/>
      <c r="BF36" s="148"/>
      <c r="BG36" s="41"/>
    </row>
    <row r="37" spans="1:59" ht="12.75">
      <c r="A37" s="197">
        <v>11</v>
      </c>
      <c r="B37" s="198" t="s">
        <v>1279</v>
      </c>
      <c r="C37" s="199" t="s">
        <v>1280</v>
      </c>
      <c r="D37" s="200" t="str">
        <f>P</f>
        <v>. . .</v>
      </c>
      <c r="E37" s="201" t="s">
        <v>1281</v>
      </c>
      <c r="F37" s="202"/>
      <c r="G37" s="203"/>
      <c r="H37" s="204"/>
      <c r="I37" s="205" t="str">
        <f>R</f>
        <v>Réelle</v>
      </c>
      <c r="J37" s="205" t="str">
        <f>P</f>
        <v>. . .</v>
      </c>
      <c r="K37" s="206" t="s">
        <v>1282</v>
      </c>
      <c r="L37" s="206"/>
      <c r="M37" s="207" t="s">
        <v>1283</v>
      </c>
      <c r="N37" s="208"/>
      <c r="O37" s="209" t="str">
        <f t="shared" si="0"/>
        <v>. . .</v>
      </c>
      <c r="P37" s="210" t="str">
        <f t="shared" si="0"/>
        <v>. . .</v>
      </c>
      <c r="Q37" s="210" t="str">
        <f>VI</f>
        <v>(25)</v>
      </c>
      <c r="R37" s="211" t="str">
        <f>VI</f>
        <v>(25)</v>
      </c>
      <c r="S37" s="166"/>
      <c r="V37" s="159"/>
      <c r="W37" s="160" t="str">
        <f>t</f>
        <v>TVO</v>
      </c>
      <c r="X37" s="160"/>
      <c r="Y37" s="161">
        <v>9301</v>
      </c>
      <c r="Z37" s="161"/>
      <c r="AA37" s="161"/>
      <c r="AB37" s="29"/>
      <c r="AC37" s="147"/>
      <c r="AD37" s="139"/>
      <c r="AE37" s="41"/>
      <c r="AF37" s="41"/>
      <c r="AG37" s="41"/>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32"/>
      <c r="BD37" s="148"/>
      <c r="BE37" s="148"/>
      <c r="BF37" s="148"/>
      <c r="BG37" s="41"/>
    </row>
    <row r="38" spans="1:59" ht="12.75">
      <c r="A38" s="212"/>
      <c r="B38" s="213"/>
      <c r="C38" s="214" t="s">
        <v>1284</v>
      </c>
      <c r="D38" s="215"/>
      <c r="E38" s="216"/>
      <c r="F38" s="217"/>
      <c r="G38" s="69"/>
      <c r="H38" s="70"/>
      <c r="I38" s="53"/>
      <c r="J38" s="53"/>
      <c r="K38" s="218"/>
      <c r="L38" s="218"/>
      <c r="M38" s="219"/>
      <c r="N38" s="220"/>
      <c r="O38" s="221"/>
      <c r="P38" s="222"/>
      <c r="Q38" s="137"/>
      <c r="R38" s="138"/>
      <c r="S38" s="166"/>
      <c r="T38" s="24"/>
      <c r="U38" s="25"/>
      <c r="V38" s="26"/>
      <c r="W38" s="27"/>
      <c r="X38" s="27"/>
      <c r="Y38" s="28"/>
      <c r="Z38" s="28"/>
      <c r="AA38" s="161"/>
      <c r="AB38" s="29"/>
      <c r="AC38" s="147"/>
      <c r="AD38" s="139"/>
      <c r="AE38" s="41"/>
      <c r="AF38" s="41"/>
      <c r="AG38" s="41"/>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32"/>
      <c r="BD38" s="148"/>
      <c r="BE38" s="148"/>
      <c r="BF38" s="148"/>
      <c r="BG38" s="41"/>
    </row>
    <row r="39" spans="1:59" ht="12.75">
      <c r="A39" s="42"/>
      <c r="B39" s="23"/>
      <c r="C39" s="91" t="s">
        <v>1285</v>
      </c>
      <c r="D39" s="45"/>
      <c r="E39" s="98"/>
      <c r="F39" s="133"/>
      <c r="G39" s="100"/>
      <c r="H39" s="101"/>
      <c r="I39" s="92"/>
      <c r="J39" s="44"/>
      <c r="K39" s="223"/>
      <c r="L39" s="134"/>
      <c r="M39" s="152"/>
      <c r="N39" s="153"/>
      <c r="O39" s="154"/>
      <c r="P39" s="92"/>
      <c r="Q39" s="155"/>
      <c r="R39" s="156"/>
      <c r="S39" s="23"/>
      <c r="T39" s="157"/>
      <c r="U39" s="158"/>
      <c r="V39" s="159"/>
      <c r="W39" s="160"/>
      <c r="X39" s="160"/>
      <c r="Y39" s="161"/>
      <c r="Z39" s="161"/>
      <c r="AA39" s="28"/>
      <c r="AB39" s="224"/>
      <c r="AC39" s="147"/>
      <c r="AD39" s="139"/>
      <c r="AE39" s="41"/>
      <c r="AF39" s="41"/>
      <c r="AG39" s="41"/>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32"/>
      <c r="BD39" s="148"/>
      <c r="BE39" s="148"/>
      <c r="BF39" s="148"/>
      <c r="BG39" s="41"/>
    </row>
    <row r="40" spans="1:59" ht="12.75">
      <c r="A40" s="42">
        <v>12</v>
      </c>
      <c r="B40" s="23" t="s">
        <v>1286</v>
      </c>
      <c r="C40" s="193" t="s">
        <v>1287</v>
      </c>
      <c r="D40" s="45" t="str">
        <f>P</f>
        <v>. . .</v>
      </c>
      <c r="E40" s="98">
        <v>0.017</v>
      </c>
      <c r="F40" s="133"/>
      <c r="G40" s="100"/>
      <c r="H40" s="101"/>
      <c r="I40" s="92" t="str">
        <f>R</f>
        <v>Réelle</v>
      </c>
      <c r="J40" s="44" t="s">
        <v>1288</v>
      </c>
      <c r="K40" s="225">
        <v>0.017</v>
      </c>
      <c r="L40" s="134"/>
      <c r="M40" s="152" t="str">
        <f>"(9)"</f>
        <v>(9)</v>
      </c>
      <c r="N40" s="153"/>
      <c r="O40" s="92" t="s">
        <v>1289</v>
      </c>
      <c r="P40" s="92" t="s">
        <v>1290</v>
      </c>
      <c r="Q40" s="92" t="str">
        <f>VI</f>
        <v>(25)</v>
      </c>
      <c r="R40" s="171" t="str">
        <f>VI</f>
        <v>(25)</v>
      </c>
      <c r="S40" s="166"/>
      <c r="W40" s="160" t="str">
        <f>t</f>
        <v>TVO</v>
      </c>
      <c r="X40" s="160"/>
      <c r="Y40" s="161">
        <v>4004</v>
      </c>
      <c r="Z40" s="161"/>
      <c r="AA40" s="161"/>
      <c r="AB40" s="29"/>
      <c r="AC40" s="147"/>
      <c r="AD40" s="139"/>
      <c r="AE40" s="41"/>
      <c r="AF40" s="41"/>
      <c r="AG40" s="41"/>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32"/>
      <c r="BD40" s="148"/>
      <c r="BE40" s="148"/>
      <c r="BF40" s="148"/>
      <c r="BG40" s="41"/>
    </row>
    <row r="41" spans="1:59" ht="12.75">
      <c r="A41" s="42">
        <v>13</v>
      </c>
      <c r="B41" s="23" t="s">
        <v>1291</v>
      </c>
      <c r="C41" s="193" t="s">
        <v>1292</v>
      </c>
      <c r="D41" s="45" t="s">
        <v>1293</v>
      </c>
      <c r="E41" s="98">
        <v>0.017</v>
      </c>
      <c r="F41" s="133"/>
      <c r="G41" s="100"/>
      <c r="H41" s="101"/>
      <c r="I41" s="92" t="str">
        <f>R</f>
        <v>Réelle</v>
      </c>
      <c r="J41" s="44" t="str">
        <f>P</f>
        <v>. . .</v>
      </c>
      <c r="K41" s="225">
        <v>0.017</v>
      </c>
      <c r="L41" s="134"/>
      <c r="M41" s="152" t="s">
        <v>1294</v>
      </c>
      <c r="N41" s="153"/>
      <c r="O41" s="92" t="s">
        <v>1295</v>
      </c>
      <c r="P41" s="92" t="s">
        <v>1296</v>
      </c>
      <c r="Q41" s="92" t="str">
        <f>VI</f>
        <v>(25)</v>
      </c>
      <c r="R41" s="171" t="str">
        <f>VI</f>
        <v>(25)</v>
      </c>
      <c r="S41" s="166"/>
      <c r="W41" s="160" t="str">
        <f>t</f>
        <v>TVO</v>
      </c>
      <c r="X41" s="160"/>
      <c r="Y41" s="161">
        <v>9348</v>
      </c>
      <c r="Z41" s="161"/>
      <c r="AA41" s="161"/>
      <c r="AB41" s="29"/>
      <c r="AC41" s="147"/>
      <c r="AD41" s="139"/>
      <c r="AE41" s="41"/>
      <c r="AF41" s="41"/>
      <c r="AG41" s="41"/>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32"/>
      <c r="BD41" s="148"/>
      <c r="BE41" s="148"/>
      <c r="BF41" s="148"/>
      <c r="BG41" s="41"/>
    </row>
    <row r="42" spans="1:59" ht="12.75">
      <c r="A42" s="42"/>
      <c r="B42" s="23"/>
      <c r="C42" s="91" t="s">
        <v>1297</v>
      </c>
      <c r="D42" s="45"/>
      <c r="E42" s="98"/>
      <c r="F42" s="133"/>
      <c r="G42" s="100"/>
      <c r="H42" s="101"/>
      <c r="I42" s="92"/>
      <c r="J42" s="44"/>
      <c r="K42" s="223"/>
      <c r="L42" s="134"/>
      <c r="M42" s="152"/>
      <c r="N42" s="153"/>
      <c r="O42" s="154"/>
      <c r="P42" s="92"/>
      <c r="Q42" s="155"/>
      <c r="R42" s="156"/>
      <c r="S42" s="166"/>
      <c r="T42" s="54"/>
      <c r="U42" s="55"/>
      <c r="V42" s="56"/>
      <c r="W42" s="57"/>
      <c r="X42" s="57"/>
      <c r="Y42" s="58"/>
      <c r="Z42" s="58"/>
      <c r="AA42" s="161"/>
      <c r="AB42" s="29"/>
      <c r="AC42" s="147"/>
      <c r="AD42" s="139"/>
      <c r="AE42" s="41"/>
      <c r="AF42" s="41"/>
      <c r="AG42" s="41"/>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32"/>
      <c r="BD42" s="148"/>
      <c r="BE42" s="148"/>
      <c r="BF42" s="148"/>
      <c r="BG42" s="41"/>
    </row>
    <row r="43" spans="1:59" ht="12.75">
      <c r="A43" s="42"/>
      <c r="B43" s="23"/>
      <c r="C43" s="193" t="s">
        <v>1298</v>
      </c>
      <c r="D43" s="45"/>
      <c r="E43" s="98"/>
      <c r="F43" s="133"/>
      <c r="G43" s="100"/>
      <c r="H43" s="101"/>
      <c r="I43" s="92"/>
      <c r="J43" s="44"/>
      <c r="K43" s="223"/>
      <c r="L43" s="134"/>
      <c r="M43" s="152"/>
      <c r="N43" s="153"/>
      <c r="O43" s="154"/>
      <c r="P43" s="92"/>
      <c r="Q43" s="155"/>
      <c r="R43" s="156"/>
      <c r="S43" s="154"/>
      <c r="T43" s="54"/>
      <c r="U43" s="55"/>
      <c r="V43" s="56"/>
      <c r="W43" s="57"/>
      <c r="X43" s="57"/>
      <c r="Y43" s="58"/>
      <c r="Z43" s="58"/>
      <c r="AA43" s="58"/>
      <c r="AB43" s="29"/>
      <c r="AC43" s="147"/>
      <c r="AD43" s="139"/>
      <c r="AE43" s="41"/>
      <c r="AF43" s="41"/>
      <c r="AG43" s="41"/>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32"/>
      <c r="BD43" s="148"/>
      <c r="BE43" s="148"/>
      <c r="BF43" s="148"/>
      <c r="BG43" s="41"/>
    </row>
    <row r="44" spans="1:59" ht="12.75">
      <c r="A44" s="42"/>
      <c r="B44" s="23"/>
      <c r="C44" s="91" t="s">
        <v>1299</v>
      </c>
      <c r="D44" s="45"/>
      <c r="E44" s="98"/>
      <c r="F44" s="133"/>
      <c r="G44" s="100"/>
      <c r="H44" s="101"/>
      <c r="I44" s="92"/>
      <c r="J44" s="44"/>
      <c r="K44" s="223"/>
      <c r="L44" s="134"/>
      <c r="M44" s="152"/>
      <c r="N44" s="153"/>
      <c r="O44" s="154"/>
      <c r="P44" s="92"/>
      <c r="Q44" s="155"/>
      <c r="R44" s="156"/>
      <c r="S44" s="154"/>
      <c r="T44" s="157"/>
      <c r="U44" s="158"/>
      <c r="V44" s="159"/>
      <c r="W44" s="160"/>
      <c r="X44" s="160"/>
      <c r="Y44" s="161"/>
      <c r="Z44" s="161"/>
      <c r="AA44" s="58"/>
      <c r="AB44" s="29"/>
      <c r="AC44" s="147"/>
      <c r="AD44" s="139"/>
      <c r="AE44" s="41"/>
      <c r="AF44" s="41"/>
      <c r="AG44" s="41"/>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32"/>
      <c r="BD44" s="148"/>
      <c r="BE44" s="148"/>
      <c r="BF44" s="148"/>
      <c r="BG44" s="41"/>
    </row>
    <row r="45" spans="1:59" ht="12.75">
      <c r="A45" s="42"/>
      <c r="B45" s="226"/>
      <c r="C45" s="91" t="s">
        <v>1300</v>
      </c>
      <c r="D45" s="45"/>
      <c r="E45" s="98"/>
      <c r="F45" s="133"/>
      <c r="G45" s="100"/>
      <c r="H45" s="101"/>
      <c r="I45" s="92"/>
      <c r="J45" s="44"/>
      <c r="K45" s="223"/>
      <c r="L45" s="134"/>
      <c r="M45" s="152"/>
      <c r="N45" s="153"/>
      <c r="O45" s="154"/>
      <c r="P45" s="92"/>
      <c r="Q45" s="155"/>
      <c r="R45" s="156"/>
      <c r="S45" s="166"/>
      <c r="T45" s="157"/>
      <c r="U45" s="158"/>
      <c r="V45" s="159"/>
      <c r="W45" s="160"/>
      <c r="X45" s="160"/>
      <c r="Y45" s="161"/>
      <c r="Z45" s="161"/>
      <c r="AA45" s="161"/>
      <c r="AB45" s="29"/>
      <c r="AC45" s="147"/>
      <c r="AD45" s="139"/>
      <c r="AE45" s="41"/>
      <c r="AF45" s="41"/>
      <c r="AG45" s="41"/>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32"/>
      <c r="BD45" s="148"/>
      <c r="BE45" s="148"/>
      <c r="BF45" s="148"/>
      <c r="BG45" s="41"/>
    </row>
    <row r="46" spans="1:59" ht="12.75">
      <c r="A46" s="42"/>
      <c r="B46" s="226"/>
      <c r="C46" s="193" t="s">
        <v>1301</v>
      </c>
      <c r="D46" s="45"/>
      <c r="E46" s="98"/>
      <c r="F46" s="133"/>
      <c r="G46" s="100"/>
      <c r="H46" s="101"/>
      <c r="I46" s="92"/>
      <c r="J46" s="44"/>
      <c r="K46" s="223"/>
      <c r="L46" s="134"/>
      <c r="M46" s="152"/>
      <c r="N46" s="153"/>
      <c r="O46" s="154"/>
      <c r="P46" s="92"/>
      <c r="Q46" s="155"/>
      <c r="R46" s="156"/>
      <c r="S46" s="166"/>
      <c r="T46" s="157"/>
      <c r="U46" s="158"/>
      <c r="V46" s="159"/>
      <c r="W46" s="160"/>
      <c r="X46" s="160"/>
      <c r="Y46" s="161"/>
      <c r="Z46" s="161"/>
      <c r="AA46" s="161"/>
      <c r="AB46" s="29"/>
      <c r="AC46" s="147"/>
      <c r="AD46" s="139"/>
      <c r="AE46" s="41"/>
      <c r="AF46" s="41"/>
      <c r="AG46" s="41"/>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32"/>
      <c r="BD46" s="148"/>
      <c r="BE46" s="148"/>
      <c r="BF46" s="148"/>
      <c r="BG46" s="41"/>
    </row>
    <row r="47" spans="1:59" ht="12.75">
      <c r="A47" s="42">
        <v>14</v>
      </c>
      <c r="B47" s="226" t="s">
        <v>1302</v>
      </c>
      <c r="C47" s="193" t="s">
        <v>1303</v>
      </c>
      <c r="D47" s="45" t="s">
        <v>1304</v>
      </c>
      <c r="E47" s="98">
        <v>0.017</v>
      </c>
      <c r="F47" s="133"/>
      <c r="G47" s="100"/>
      <c r="H47" s="101"/>
      <c r="I47" s="92" t="str">
        <f>R</f>
        <v>Réelle</v>
      </c>
      <c r="J47" s="44" t="s">
        <v>1305</v>
      </c>
      <c r="K47" s="225">
        <v>0.017</v>
      </c>
      <c r="L47" s="134"/>
      <c r="M47" s="152" t="str">
        <f>"(9)"</f>
        <v>(9)</v>
      </c>
      <c r="N47" s="153"/>
      <c r="O47" s="92" t="s">
        <v>1306</v>
      </c>
      <c r="P47" s="92" t="s">
        <v>1307</v>
      </c>
      <c r="Q47" s="92" t="str">
        <f>VI</f>
        <v>(25)</v>
      </c>
      <c r="R47" s="171" t="str">
        <f>VI</f>
        <v>(25)</v>
      </c>
      <c r="S47" s="166"/>
      <c r="W47" s="160" t="str">
        <f>t</f>
        <v>TVO</v>
      </c>
      <c r="X47" s="160"/>
      <c r="Y47" s="161">
        <v>4004</v>
      </c>
      <c r="Z47" s="161"/>
      <c r="AA47" s="161"/>
      <c r="AB47" s="29"/>
      <c r="AC47" s="147"/>
      <c r="AD47" s="139"/>
      <c r="AE47" s="41"/>
      <c r="AF47" s="41"/>
      <c r="AG47" s="41"/>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32"/>
      <c r="BD47" s="148"/>
      <c r="BE47" s="148"/>
      <c r="BF47" s="148"/>
      <c r="BG47" s="41"/>
    </row>
    <row r="48" spans="1:59" ht="12.75">
      <c r="A48" s="42">
        <v>15</v>
      </c>
      <c r="B48" s="226" t="s">
        <v>1308</v>
      </c>
      <c r="C48" s="193" t="s">
        <v>1309</v>
      </c>
      <c r="D48" s="45" t="s">
        <v>1310</v>
      </c>
      <c r="E48" s="98">
        <v>0.017</v>
      </c>
      <c r="F48" s="133"/>
      <c r="G48" s="100"/>
      <c r="H48" s="101"/>
      <c r="I48" s="92" t="str">
        <f>R</f>
        <v>Réelle</v>
      </c>
      <c r="J48" s="44" t="str">
        <f>P</f>
        <v>. . .</v>
      </c>
      <c r="K48" s="225">
        <v>0.017</v>
      </c>
      <c r="L48" s="134"/>
      <c r="M48" s="152" t="s">
        <v>1311</v>
      </c>
      <c r="N48" s="153"/>
      <c r="O48" s="92" t="s">
        <v>1312</v>
      </c>
      <c r="P48" s="92" t="s">
        <v>1313</v>
      </c>
      <c r="Q48" s="92" t="str">
        <f>VI</f>
        <v>(25)</v>
      </c>
      <c r="R48" s="171" t="str">
        <f>VI</f>
        <v>(25)</v>
      </c>
      <c r="S48" s="166"/>
      <c r="W48" s="160" t="str">
        <f>t</f>
        <v>TVO</v>
      </c>
      <c r="X48" s="160"/>
      <c r="Y48" s="161">
        <v>9348</v>
      </c>
      <c r="Z48" s="161"/>
      <c r="AA48" s="161"/>
      <c r="AB48" s="29"/>
      <c r="AC48" s="147"/>
      <c r="AD48" s="139"/>
      <c r="AE48" s="41"/>
      <c r="AF48" s="41"/>
      <c r="AG48" s="41"/>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32"/>
      <c r="BD48" s="148"/>
      <c r="BE48" s="148"/>
      <c r="BF48" s="148"/>
      <c r="BG48" s="41"/>
    </row>
    <row r="49" spans="1:59" ht="12.75">
      <c r="A49" s="42"/>
      <c r="B49" s="226"/>
      <c r="C49" s="91" t="s">
        <v>1314</v>
      </c>
      <c r="D49" s="45"/>
      <c r="E49" s="98"/>
      <c r="F49" s="133"/>
      <c r="G49" s="100"/>
      <c r="H49" s="101"/>
      <c r="I49" s="92"/>
      <c r="J49" s="44"/>
      <c r="K49" s="223"/>
      <c r="L49" s="134"/>
      <c r="M49" s="152"/>
      <c r="N49" s="153"/>
      <c r="O49" s="154"/>
      <c r="P49" s="92"/>
      <c r="Q49" s="155"/>
      <c r="R49" s="156"/>
      <c r="S49" s="166"/>
      <c r="W49" s="57"/>
      <c r="X49" s="57"/>
      <c r="Y49" s="58"/>
      <c r="Z49" s="58"/>
      <c r="AA49" s="161"/>
      <c r="AB49" s="29"/>
      <c r="AC49" s="147"/>
      <c r="AD49" s="139"/>
      <c r="AE49" s="41"/>
      <c r="AF49" s="41"/>
      <c r="AG49" s="41"/>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32"/>
      <c r="BD49" s="148"/>
      <c r="BE49" s="148"/>
      <c r="BF49" s="148"/>
      <c r="BG49" s="41"/>
    </row>
    <row r="50" spans="1:59" ht="12.75">
      <c r="A50" s="42">
        <v>16</v>
      </c>
      <c r="B50" s="226" t="s">
        <v>1315</v>
      </c>
      <c r="C50" s="193" t="s">
        <v>1316</v>
      </c>
      <c r="D50" s="45" t="s">
        <v>1317</v>
      </c>
      <c r="E50" s="98">
        <v>0.017</v>
      </c>
      <c r="F50" s="133"/>
      <c r="G50" s="100"/>
      <c r="H50" s="101"/>
      <c r="I50" s="92" t="str">
        <f>R</f>
        <v>Réelle</v>
      </c>
      <c r="J50" s="44" t="s">
        <v>1318</v>
      </c>
      <c r="K50" s="225">
        <v>0.017</v>
      </c>
      <c r="L50" s="134"/>
      <c r="M50" s="152" t="str">
        <f>"(9)"</f>
        <v>(9)</v>
      </c>
      <c r="N50" s="153"/>
      <c r="O50" s="92" t="s">
        <v>1319</v>
      </c>
      <c r="P50" s="92" t="s">
        <v>1320</v>
      </c>
      <c r="Q50" s="92" t="str">
        <f>VI</f>
        <v>(25)</v>
      </c>
      <c r="R50" s="171" t="str">
        <f>VI</f>
        <v>(25)</v>
      </c>
      <c r="S50" s="154"/>
      <c r="W50" s="160" t="str">
        <f>t</f>
        <v>TVO</v>
      </c>
      <c r="X50" s="160"/>
      <c r="Y50" s="161">
        <v>4004</v>
      </c>
      <c r="Z50" s="58"/>
      <c r="AA50" s="58"/>
      <c r="AB50" s="29"/>
      <c r="AC50" s="147"/>
      <c r="AD50" s="139"/>
      <c r="AE50" s="41"/>
      <c r="AF50" s="41"/>
      <c r="AG50" s="41"/>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32"/>
      <c r="BD50" s="148"/>
      <c r="BE50" s="148"/>
      <c r="BF50" s="148"/>
      <c r="BG50" s="41"/>
    </row>
    <row r="51" spans="1:59" ht="12.75">
      <c r="A51" s="42">
        <v>17</v>
      </c>
      <c r="B51" s="226" t="s">
        <v>1321</v>
      </c>
      <c r="C51" s="193" t="s">
        <v>1322</v>
      </c>
      <c r="D51" s="45" t="s">
        <v>1323</v>
      </c>
      <c r="E51" s="98">
        <v>0.017</v>
      </c>
      <c r="F51" s="133"/>
      <c r="G51" s="100"/>
      <c r="H51" s="101"/>
      <c r="I51" s="92" t="str">
        <f>R</f>
        <v>Réelle</v>
      </c>
      <c r="J51" s="44" t="str">
        <f>P</f>
        <v>. . .</v>
      </c>
      <c r="K51" s="225">
        <v>0.017</v>
      </c>
      <c r="L51" s="134"/>
      <c r="M51" s="152" t="s">
        <v>1324</v>
      </c>
      <c r="N51" s="153"/>
      <c r="O51" s="92" t="s">
        <v>1325</v>
      </c>
      <c r="P51" s="92" t="s">
        <v>1326</v>
      </c>
      <c r="Q51" s="92" t="str">
        <f>VI</f>
        <v>(25)</v>
      </c>
      <c r="R51" s="171" t="str">
        <f>VI</f>
        <v>(25)</v>
      </c>
      <c r="S51" s="154"/>
      <c r="W51" s="160" t="str">
        <f>t</f>
        <v>TVO</v>
      </c>
      <c r="X51" s="160"/>
      <c r="Y51" s="161">
        <v>9348</v>
      </c>
      <c r="Z51" s="161"/>
      <c r="AA51" s="58"/>
      <c r="AB51" s="29"/>
      <c r="AC51" s="147"/>
      <c r="AD51" s="139"/>
      <c r="AE51" s="41"/>
      <c r="AF51" s="41"/>
      <c r="AG51" s="41"/>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32"/>
      <c r="BD51" s="148"/>
      <c r="BE51" s="148"/>
      <c r="BF51" s="148"/>
      <c r="BG51" s="41"/>
    </row>
    <row r="52" spans="1:59" ht="12.75">
      <c r="A52" s="42"/>
      <c r="B52" s="226"/>
      <c r="C52" s="189" t="s">
        <v>1327</v>
      </c>
      <c r="D52" s="45"/>
      <c r="E52" s="98"/>
      <c r="F52" s="133"/>
      <c r="G52" s="100"/>
      <c r="H52" s="101"/>
      <c r="I52" s="92"/>
      <c r="J52" s="44"/>
      <c r="K52" s="223"/>
      <c r="L52" s="134"/>
      <c r="M52" s="152"/>
      <c r="N52" s="153"/>
      <c r="O52" s="154"/>
      <c r="P52" s="92"/>
      <c r="Q52" s="155"/>
      <c r="R52" s="156"/>
      <c r="S52" s="166"/>
      <c r="W52" s="57"/>
      <c r="X52" s="57"/>
      <c r="Y52" s="58"/>
      <c r="Z52" s="58"/>
      <c r="AA52" s="161"/>
      <c r="AB52" s="29"/>
      <c r="AC52" s="147"/>
      <c r="AD52" s="139"/>
      <c r="AE52" s="41"/>
      <c r="AF52" s="41"/>
      <c r="AG52" s="41"/>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32"/>
      <c r="BD52" s="148"/>
      <c r="BE52" s="148"/>
      <c r="BF52" s="148"/>
      <c r="BG52" s="41"/>
    </row>
    <row r="53" spans="1:59" ht="12.75">
      <c r="A53" s="42">
        <v>18</v>
      </c>
      <c r="B53" s="226" t="s">
        <v>1328</v>
      </c>
      <c r="C53" s="193" t="s">
        <v>1329</v>
      </c>
      <c r="D53" s="45" t="s">
        <v>1330</v>
      </c>
      <c r="E53" s="98" t="s">
        <v>1331</v>
      </c>
      <c r="F53" s="133"/>
      <c r="G53" s="100"/>
      <c r="H53" s="101"/>
      <c r="I53" s="92" t="str">
        <f>R</f>
        <v>Réelle</v>
      </c>
      <c r="J53" s="44" t="s">
        <v>1332</v>
      </c>
      <c r="K53" s="223" t="s">
        <v>1333</v>
      </c>
      <c r="L53" s="134"/>
      <c r="M53" s="152" t="str">
        <f>"(9)"</f>
        <v>(9)</v>
      </c>
      <c r="N53" s="153"/>
      <c r="O53" s="92" t="s">
        <v>1334</v>
      </c>
      <c r="P53" s="92" t="s">
        <v>1335</v>
      </c>
      <c r="Q53" s="92" t="str">
        <f>VI</f>
        <v>(25)</v>
      </c>
      <c r="R53" s="171" t="str">
        <f>VI</f>
        <v>(25)</v>
      </c>
      <c r="S53" s="154"/>
      <c r="W53" s="160" t="str">
        <f>t</f>
        <v>TVO</v>
      </c>
      <c r="X53" s="160"/>
      <c r="Y53" s="161">
        <v>4004</v>
      </c>
      <c r="Z53" s="58"/>
      <c r="AA53" s="58"/>
      <c r="AB53" s="227"/>
      <c r="AC53" s="147"/>
      <c r="AD53" s="139"/>
      <c r="AE53" s="41"/>
      <c r="AF53" s="41"/>
      <c r="AG53" s="41"/>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9"/>
      <c r="BD53" s="228"/>
      <c r="BE53" s="228"/>
      <c r="BF53" s="228"/>
      <c r="BG53" s="230"/>
    </row>
    <row r="54" spans="1:59" ht="12.75">
      <c r="A54" s="42">
        <v>19</v>
      </c>
      <c r="B54" s="226" t="s">
        <v>1336</v>
      </c>
      <c r="C54" s="193" t="s">
        <v>1337</v>
      </c>
      <c r="D54" s="45" t="s">
        <v>1338</v>
      </c>
      <c r="E54" s="98" t="s">
        <v>1339</v>
      </c>
      <c r="F54" s="133"/>
      <c r="G54" s="100"/>
      <c r="H54" s="101"/>
      <c r="I54" s="92" t="str">
        <f>R</f>
        <v>Réelle</v>
      </c>
      <c r="J54" s="44" t="str">
        <f>P</f>
        <v>. . .</v>
      </c>
      <c r="K54" s="223" t="s">
        <v>1340</v>
      </c>
      <c r="L54" s="134"/>
      <c r="M54" s="152" t="s">
        <v>1341</v>
      </c>
      <c r="N54" s="153"/>
      <c r="O54" s="92" t="s">
        <v>1342</v>
      </c>
      <c r="P54" s="92" t="s">
        <v>1343</v>
      </c>
      <c r="Q54" s="92" t="str">
        <f>VI</f>
        <v>(25)</v>
      </c>
      <c r="R54" s="171" t="str">
        <f>VI</f>
        <v>(25)</v>
      </c>
      <c r="S54" s="154"/>
      <c r="W54" s="160" t="str">
        <f>t</f>
        <v>TVO</v>
      </c>
      <c r="X54" s="160"/>
      <c r="Y54" s="161">
        <v>9348</v>
      </c>
      <c r="Z54" s="161"/>
      <c r="AA54" s="58"/>
      <c r="AB54" s="227"/>
      <c r="AC54" s="147"/>
      <c r="AD54" s="139"/>
      <c r="AE54" s="41"/>
      <c r="AF54" s="41"/>
      <c r="AG54" s="41"/>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9"/>
      <c r="BD54" s="228"/>
      <c r="BE54" s="228"/>
      <c r="BF54" s="228"/>
      <c r="BG54" s="230"/>
    </row>
    <row r="55" spans="1:59" ht="12.75">
      <c r="A55" s="42"/>
      <c r="B55" s="23"/>
      <c r="C55" s="193"/>
      <c r="D55" s="45"/>
      <c r="E55" s="98"/>
      <c r="F55" s="133"/>
      <c r="G55" s="100"/>
      <c r="H55" s="101"/>
      <c r="I55" s="92"/>
      <c r="J55" s="44"/>
      <c r="K55" s="223"/>
      <c r="L55" s="134"/>
      <c r="M55" s="152"/>
      <c r="N55" s="153"/>
      <c r="O55" s="154"/>
      <c r="P55" s="92"/>
      <c r="Q55" s="155"/>
      <c r="R55" s="156"/>
      <c r="S55" s="166"/>
      <c r="T55" s="54"/>
      <c r="U55" s="55"/>
      <c r="V55" s="56"/>
      <c r="W55" s="57"/>
      <c r="X55" s="57"/>
      <c r="Y55" s="58"/>
      <c r="Z55" s="58"/>
      <c r="AA55" s="161"/>
      <c r="AB55" s="227"/>
      <c r="AC55" s="231"/>
      <c r="AD55" s="232"/>
      <c r="AE55" s="228"/>
      <c r="AF55" s="233"/>
      <c r="AG55" s="233"/>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9"/>
      <c r="BD55" s="228"/>
      <c r="BE55" s="228"/>
      <c r="BF55" s="228"/>
      <c r="BG55" s="230"/>
    </row>
    <row r="56" spans="1:59" ht="12.75">
      <c r="A56" s="234"/>
      <c r="B56" s="235" t="s">
        <v>1344</v>
      </c>
      <c r="C56" s="146" t="s">
        <v>1345</v>
      </c>
      <c r="D56" s="236" t="s">
        <v>1346</v>
      </c>
      <c r="E56" s="237" t="s">
        <v>1347</v>
      </c>
      <c r="F56" s="238"/>
      <c r="G56" s="239" t="s">
        <v>1348</v>
      </c>
      <c r="H56" s="240" t="s">
        <v>1349</v>
      </c>
      <c r="I56" s="241" t="s">
        <v>1350</v>
      </c>
      <c r="J56" s="241" t="s">
        <v>1351</v>
      </c>
      <c r="K56" s="242" t="s">
        <v>1352</v>
      </c>
      <c r="L56" s="242"/>
      <c r="M56" s="243" t="s">
        <v>1353</v>
      </c>
      <c r="N56" s="244"/>
      <c r="O56" s="245"/>
      <c r="P56" s="246"/>
      <c r="Q56" s="247" t="s">
        <v>1354</v>
      </c>
      <c r="R56" s="248" t="s">
        <v>1355</v>
      </c>
      <c r="S56" s="154"/>
      <c r="T56" s="54"/>
      <c r="U56" s="55"/>
      <c r="V56" s="56"/>
      <c r="W56" s="57"/>
      <c r="X56" s="57"/>
      <c r="Y56" s="58"/>
      <c r="Z56" s="58"/>
      <c r="AA56" s="58"/>
      <c r="AB56" s="227"/>
      <c r="AC56" s="231"/>
      <c r="AD56" s="232"/>
      <c r="AE56" s="228"/>
      <c r="AF56" s="233"/>
      <c r="AG56" s="233"/>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9"/>
      <c r="BD56" s="228"/>
      <c r="BE56" s="228"/>
      <c r="BF56" s="228"/>
      <c r="BG56" s="230"/>
    </row>
    <row r="57" spans="1:59" ht="12.75">
      <c r="A57" s="234"/>
      <c r="B57" s="235"/>
      <c r="C57" s="249"/>
      <c r="D57" s="236"/>
      <c r="E57" s="237"/>
      <c r="F57" s="238"/>
      <c r="G57" s="239"/>
      <c r="H57" s="240"/>
      <c r="I57" s="241"/>
      <c r="J57" s="241"/>
      <c r="K57" s="242"/>
      <c r="L57" s="242"/>
      <c r="M57" s="243"/>
      <c r="N57" s="244"/>
      <c r="O57" s="245"/>
      <c r="P57" s="246"/>
      <c r="Q57" s="247"/>
      <c r="R57" s="248"/>
      <c r="S57" s="154"/>
      <c r="T57" s="157"/>
      <c r="U57" s="158"/>
      <c r="V57" s="159"/>
      <c r="W57" s="160"/>
      <c r="X57" s="160"/>
      <c r="Y57" s="161"/>
      <c r="Z57" s="161"/>
      <c r="AA57" s="58"/>
      <c r="AB57" s="227"/>
      <c r="AC57" s="231"/>
      <c r="AD57" s="232"/>
      <c r="AE57" s="228"/>
      <c r="AF57" s="233"/>
      <c r="AG57" s="233"/>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9"/>
      <c r="BD57" s="228"/>
      <c r="BE57" s="228"/>
      <c r="BF57" s="228"/>
      <c r="BG57" s="230"/>
    </row>
    <row r="58" spans="1:59" ht="12.75">
      <c r="A58" s="42"/>
      <c r="B58" s="250"/>
      <c r="C58" s="251" t="s">
        <v>1356</v>
      </c>
      <c r="D58" s="45"/>
      <c r="E58" s="98"/>
      <c r="F58" s="133"/>
      <c r="G58" s="100"/>
      <c r="H58" s="101"/>
      <c r="I58" s="44"/>
      <c r="J58" s="44"/>
      <c r="K58" s="134"/>
      <c r="L58" s="134"/>
      <c r="M58" s="152"/>
      <c r="N58" s="153"/>
      <c r="O58" s="154"/>
      <c r="P58" s="92"/>
      <c r="Q58" s="92"/>
      <c r="R58" s="171"/>
      <c r="S58" s="166"/>
      <c r="T58" s="252"/>
      <c r="U58" s="253"/>
      <c r="V58" s="254"/>
      <c r="W58" s="255"/>
      <c r="X58" s="255"/>
      <c r="Y58" s="256"/>
      <c r="Z58" s="256"/>
      <c r="AA58" s="161"/>
      <c r="AB58" s="227"/>
      <c r="AC58" s="231"/>
      <c r="AD58" s="232"/>
      <c r="AE58" s="228"/>
      <c r="AF58" s="233"/>
      <c r="AG58" s="233"/>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9"/>
      <c r="BD58" s="228"/>
      <c r="BE58" s="228"/>
      <c r="BF58" s="228"/>
      <c r="BG58" s="230"/>
    </row>
    <row r="59" spans="1:59" ht="12.75">
      <c r="A59" s="42">
        <v>20</v>
      </c>
      <c r="B59" s="23" t="s">
        <v>1357</v>
      </c>
      <c r="C59" s="193" t="s">
        <v>1358</v>
      </c>
      <c r="D59" s="44" t="str">
        <f>P</f>
        <v>. . .</v>
      </c>
      <c r="E59" s="98" t="s">
        <v>1359</v>
      </c>
      <c r="F59" s="133"/>
      <c r="G59" s="194" t="s">
        <v>1360</v>
      </c>
      <c r="H59" s="43" t="s">
        <v>1361</v>
      </c>
      <c r="I59" s="44">
        <f>vfspb</f>
        <v>27.49</v>
      </c>
      <c r="J59" s="44" t="s">
        <v>1362</v>
      </c>
      <c r="K59" s="133" t="s">
        <v>1363</v>
      </c>
      <c r="L59" s="133"/>
      <c r="M59" s="152">
        <f>TISP</f>
        <v>58.92</v>
      </c>
      <c r="N59" s="153"/>
      <c r="O59" s="154" t="str">
        <f aca="true" t="shared" si="1" ref="O59:P61">P</f>
        <v>. . .</v>
      </c>
      <c r="P59" s="92" t="str">
        <f t="shared" si="1"/>
        <v>. . .</v>
      </c>
      <c r="Q59" s="92">
        <f>SUM(I59:P59)*19.6%</f>
        <v>16.93636</v>
      </c>
      <c r="R59" s="171">
        <f>SUM(I59:P59)*13%</f>
        <v>11.2333</v>
      </c>
      <c r="S59" s="235"/>
      <c r="T59" s="252">
        <v>5734</v>
      </c>
      <c r="U59" s="253"/>
      <c r="W59" s="257">
        <v>5903</v>
      </c>
      <c r="X59" s="257"/>
      <c r="Y59" s="256">
        <v>9348</v>
      </c>
      <c r="Z59" s="256"/>
      <c r="AA59" s="256"/>
      <c r="AB59" s="227"/>
      <c r="AC59" s="231"/>
      <c r="AD59" s="232"/>
      <c r="AE59" s="228"/>
      <c r="AF59" s="233"/>
      <c r="AG59" s="233"/>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9"/>
      <c r="BD59" s="228"/>
      <c r="BE59" s="228"/>
      <c r="BF59" s="228"/>
      <c r="BG59" s="230"/>
    </row>
    <row r="60" spans="1:59" ht="12.75">
      <c r="A60" s="42">
        <v>21</v>
      </c>
      <c r="B60" s="23" t="s">
        <v>1364</v>
      </c>
      <c r="C60" s="193" t="s">
        <v>1365</v>
      </c>
      <c r="D60" s="44" t="str">
        <f>P</f>
        <v>. . .</v>
      </c>
      <c r="E60" s="98" t="s">
        <v>1366</v>
      </c>
      <c r="F60" s="133"/>
      <c r="G60" s="194" t="s">
        <v>1367</v>
      </c>
      <c r="H60" s="43" t="s">
        <v>1368</v>
      </c>
      <c r="I60" s="44">
        <f>VFGO</f>
        <v>26.37</v>
      </c>
      <c r="J60" s="44" t="s">
        <v>1369</v>
      </c>
      <c r="K60" s="133" t="s">
        <v>1370</v>
      </c>
      <c r="L60" s="133"/>
      <c r="M60" s="152">
        <f>TIGO</f>
        <v>41.69</v>
      </c>
      <c r="N60" s="153"/>
      <c r="O60" s="154" t="str">
        <f t="shared" si="1"/>
        <v>. . .</v>
      </c>
      <c r="P60" s="92" t="str">
        <f t="shared" si="1"/>
        <v>. . .</v>
      </c>
      <c r="Q60" s="92">
        <f>TVAGOMETRO</f>
        <v>13.339760000000002</v>
      </c>
      <c r="R60" s="171">
        <f>TVAGOCORSE</f>
        <v>8.847800000000001</v>
      </c>
      <c r="S60" s="235"/>
      <c r="T60" s="54">
        <v>5731</v>
      </c>
      <c r="U60" s="55"/>
      <c r="W60" s="258">
        <v>5938</v>
      </c>
      <c r="X60" s="258"/>
      <c r="Y60" s="58">
        <v>9348</v>
      </c>
      <c r="Z60" s="58"/>
      <c r="AA60" s="256"/>
      <c r="AB60" s="227"/>
      <c r="AC60" s="231"/>
      <c r="AD60" s="232"/>
      <c r="AE60" s="228"/>
      <c r="AF60" s="233"/>
      <c r="AG60" s="233"/>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9"/>
      <c r="BD60" s="228"/>
      <c r="BE60" s="228"/>
      <c r="BF60" s="228"/>
      <c r="BG60" s="230"/>
    </row>
    <row r="61" spans="1:59" ht="12.75">
      <c r="A61" s="42">
        <v>22</v>
      </c>
      <c r="B61" s="23" t="s">
        <v>1371</v>
      </c>
      <c r="C61" s="193" t="s">
        <v>1372</v>
      </c>
      <c r="D61" s="44" t="str">
        <f>P</f>
        <v>. . .</v>
      </c>
      <c r="E61" s="98" t="s">
        <v>1373</v>
      </c>
      <c r="F61" s="133"/>
      <c r="G61" s="194" t="s">
        <v>1374</v>
      </c>
      <c r="H61" s="43" t="s">
        <v>1375</v>
      </c>
      <c r="I61" s="92">
        <f>VFFHS</f>
        <v>13.68</v>
      </c>
      <c r="J61" s="44" t="s">
        <v>1376</v>
      </c>
      <c r="K61" s="133" t="s">
        <v>1377</v>
      </c>
      <c r="L61" s="133"/>
      <c r="M61" s="152">
        <f>TIFBTS</f>
        <v>1.85</v>
      </c>
      <c r="N61" s="153"/>
      <c r="O61" s="154" t="str">
        <f t="shared" si="1"/>
        <v>. . .</v>
      </c>
      <c r="P61" s="92" t="str">
        <f t="shared" si="1"/>
        <v>. . .</v>
      </c>
      <c r="Q61" s="92">
        <f>TVAFLHTSMETRO</f>
        <v>3.1379600000000005</v>
      </c>
      <c r="R61" s="171">
        <f>TVAFLHTSCORSE</f>
        <v>2.0813</v>
      </c>
      <c r="S61" s="43"/>
      <c r="T61" s="54">
        <v>5713</v>
      </c>
      <c r="U61" s="55"/>
      <c r="W61" s="258">
        <v>5902</v>
      </c>
      <c r="X61" s="258"/>
      <c r="Y61" s="58">
        <v>9348</v>
      </c>
      <c r="Z61" s="58"/>
      <c r="AA61" s="58"/>
      <c r="AB61" s="227"/>
      <c r="AC61" s="231"/>
      <c r="AD61" s="232"/>
      <c r="AE61" s="228"/>
      <c r="AF61" s="233"/>
      <c r="AG61" s="233"/>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9"/>
      <c r="BD61" s="228"/>
      <c r="BE61" s="228"/>
      <c r="BF61" s="228"/>
      <c r="BG61" s="230"/>
    </row>
    <row r="62" spans="1:59" ht="12.75">
      <c r="A62" s="42"/>
      <c r="B62" s="250"/>
      <c r="C62" s="170" t="s">
        <v>1378</v>
      </c>
      <c r="D62" s="44"/>
      <c r="E62" s="98"/>
      <c r="F62" s="133"/>
      <c r="G62" s="194"/>
      <c r="H62" s="43"/>
      <c r="I62" s="44"/>
      <c r="J62" s="44"/>
      <c r="K62" s="133"/>
      <c r="L62" s="133"/>
      <c r="M62" s="152"/>
      <c r="N62" s="153"/>
      <c r="O62" s="154"/>
      <c r="P62" s="92"/>
      <c r="Q62" s="92"/>
      <c r="R62" s="171"/>
      <c r="S62" s="154"/>
      <c r="T62" s="54"/>
      <c r="U62" s="55"/>
      <c r="W62" s="57"/>
      <c r="X62" s="57"/>
      <c r="Y62" s="58"/>
      <c r="Z62" s="58"/>
      <c r="AA62" s="58"/>
      <c r="AB62" s="227"/>
      <c r="AC62" s="231"/>
      <c r="AD62" s="232"/>
      <c r="AE62" s="228"/>
      <c r="AF62" s="233"/>
      <c r="AG62" s="233"/>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9"/>
      <c r="BD62" s="228"/>
      <c r="BE62" s="228"/>
      <c r="BF62" s="228"/>
      <c r="BG62" s="230"/>
    </row>
    <row r="63" spans="1:59" ht="12.75">
      <c r="A63" s="42">
        <v>23</v>
      </c>
      <c r="B63" s="23" t="s">
        <v>1379</v>
      </c>
      <c r="C63" s="193" t="s">
        <v>1380</v>
      </c>
      <c r="D63" s="44" t="str">
        <f>P</f>
        <v>. . .</v>
      </c>
      <c r="E63" s="98" t="s">
        <v>1381</v>
      </c>
      <c r="F63" s="133"/>
      <c r="G63" s="194" t="s">
        <v>1382</v>
      </c>
      <c r="H63" s="43" t="s">
        <v>1383</v>
      </c>
      <c r="I63" s="44">
        <f>vfspb</f>
        <v>27.49</v>
      </c>
      <c r="J63" s="44" t="s">
        <v>1384</v>
      </c>
      <c r="K63" s="133" t="s">
        <v>1385</v>
      </c>
      <c r="L63" s="133"/>
      <c r="M63" s="152">
        <f>TISP</f>
        <v>58.92</v>
      </c>
      <c r="N63" s="153"/>
      <c r="O63" s="154" t="str">
        <f aca="true" t="shared" si="2" ref="O63:P65">P</f>
        <v>. . .</v>
      </c>
      <c r="P63" s="92" t="str">
        <f t="shared" si="2"/>
        <v>. . .</v>
      </c>
      <c r="Q63" s="92">
        <f>TVAcondM</f>
        <v>16.93636</v>
      </c>
      <c r="R63" s="171">
        <f>TVAcondC</f>
        <v>11.2333</v>
      </c>
      <c r="S63" s="43"/>
      <c r="T63" s="252">
        <v>5734</v>
      </c>
      <c r="U63" s="253"/>
      <c r="W63" s="257">
        <v>5903</v>
      </c>
      <c r="X63" s="257"/>
      <c r="Y63" s="256">
        <v>9348</v>
      </c>
      <c r="Z63" s="58"/>
      <c r="AA63" s="58"/>
      <c r="AB63" s="227"/>
      <c r="AC63" s="231"/>
      <c r="AD63" s="232"/>
      <c r="AE63" s="228"/>
      <c r="AF63" s="233"/>
      <c r="AG63" s="233"/>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9"/>
      <c r="BD63" s="228"/>
      <c r="BE63" s="228"/>
      <c r="BF63" s="228"/>
      <c r="BG63" s="230"/>
    </row>
    <row r="64" spans="1:59" ht="12.75">
      <c r="A64" s="42">
        <v>24</v>
      </c>
      <c r="B64" s="23" t="s">
        <v>1386</v>
      </c>
      <c r="C64" s="193" t="s">
        <v>1387</v>
      </c>
      <c r="D64" s="44" t="str">
        <f>P</f>
        <v>. . .</v>
      </c>
      <c r="E64" s="98" t="s">
        <v>1388</v>
      </c>
      <c r="F64" s="133"/>
      <c r="G64" s="194" t="s">
        <v>1389</v>
      </c>
      <c r="H64" s="43" t="s">
        <v>1390</v>
      </c>
      <c r="I64" s="44">
        <f>VFGO</f>
        <v>26.37</v>
      </c>
      <c r="J64" s="44" t="s">
        <v>1391</v>
      </c>
      <c r="K64" s="133" t="s">
        <v>1392</v>
      </c>
      <c r="L64" s="133"/>
      <c r="M64" s="152">
        <f>TIGO</f>
        <v>41.69</v>
      </c>
      <c r="N64" s="153"/>
      <c r="O64" s="154" t="str">
        <f t="shared" si="2"/>
        <v>. . .</v>
      </c>
      <c r="P64" s="92" t="str">
        <f t="shared" si="2"/>
        <v>. . .</v>
      </c>
      <c r="Q64" s="92">
        <f>TVAGOMETRO</f>
        <v>13.339760000000002</v>
      </c>
      <c r="R64" s="171">
        <f>TVAGOCORSE</f>
        <v>8.847800000000001</v>
      </c>
      <c r="S64" s="154"/>
      <c r="T64" s="54">
        <v>5731</v>
      </c>
      <c r="U64" s="55"/>
      <c r="W64" s="258">
        <v>5938</v>
      </c>
      <c r="X64" s="258"/>
      <c r="Y64" s="58">
        <v>9348</v>
      </c>
      <c r="Z64" s="58"/>
      <c r="AA64" s="58"/>
      <c r="AB64" s="227"/>
      <c r="AC64" s="231"/>
      <c r="AD64" s="232"/>
      <c r="AE64" s="228"/>
      <c r="AF64" s="233"/>
      <c r="AG64" s="233"/>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9"/>
      <c r="BD64" s="228"/>
      <c r="BE64" s="228"/>
      <c r="BF64" s="228"/>
      <c r="BG64" s="230"/>
    </row>
    <row r="65" spans="1:59" ht="12.75">
      <c r="A65" s="197">
        <v>25</v>
      </c>
      <c r="B65" s="198" t="s">
        <v>1393</v>
      </c>
      <c r="C65" s="199" t="s">
        <v>1394</v>
      </c>
      <c r="D65" s="205" t="str">
        <f>P</f>
        <v>. . .</v>
      </c>
      <c r="E65" s="201" t="s">
        <v>1395</v>
      </c>
      <c r="F65" s="202"/>
      <c r="G65" s="259" t="s">
        <v>1396</v>
      </c>
      <c r="H65" s="260" t="s">
        <v>1397</v>
      </c>
      <c r="I65" s="210">
        <f>VFFHS</f>
        <v>13.68</v>
      </c>
      <c r="J65" s="205" t="s">
        <v>1398</v>
      </c>
      <c r="K65" s="202" t="s">
        <v>1399</v>
      </c>
      <c r="L65" s="202"/>
      <c r="M65" s="207">
        <f>TIFBTS</f>
        <v>1.85</v>
      </c>
      <c r="N65" s="208"/>
      <c r="O65" s="209" t="str">
        <f t="shared" si="2"/>
        <v>. . .</v>
      </c>
      <c r="P65" s="210" t="str">
        <f t="shared" si="2"/>
        <v>. . .</v>
      </c>
      <c r="Q65" s="210">
        <f>TVAFLHTSMETRO</f>
        <v>3.1379600000000005</v>
      </c>
      <c r="R65" s="211">
        <f>TVAFLHTSCORSE</f>
        <v>2.0813</v>
      </c>
      <c r="S65" s="43"/>
      <c r="T65" s="54">
        <v>5713</v>
      </c>
      <c r="U65" s="55"/>
      <c r="W65" s="258">
        <v>5902</v>
      </c>
      <c r="X65" s="258"/>
      <c r="Y65" s="58">
        <v>9348</v>
      </c>
      <c r="Z65" s="58"/>
      <c r="AA65" s="58"/>
      <c r="AB65" s="227"/>
      <c r="AC65" s="231"/>
      <c r="AD65" s="232"/>
      <c r="AE65" s="228"/>
      <c r="AF65" s="233"/>
      <c r="AG65" s="233"/>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9"/>
      <c r="BD65" s="228"/>
      <c r="BE65" s="228"/>
      <c r="BF65" s="228"/>
      <c r="BG65" s="230"/>
    </row>
    <row r="66" spans="1:59" ht="12.75">
      <c r="A66" s="43"/>
      <c r="B66" s="23"/>
      <c r="C66" s="261"/>
      <c r="D66" s="262"/>
      <c r="E66" s="98"/>
      <c r="F66" s="133"/>
      <c r="G66" s="101"/>
      <c r="H66" s="101"/>
      <c r="I66" s="43"/>
      <c r="J66" s="43"/>
      <c r="K66" s="134"/>
      <c r="L66" s="134"/>
      <c r="M66" s="166"/>
      <c r="N66" s="166"/>
      <c r="O66" s="154"/>
      <c r="P66" s="154"/>
      <c r="Q66" s="43"/>
      <c r="R66" s="154"/>
      <c r="S66" s="154"/>
      <c r="T66" s="263"/>
      <c r="U66" s="264"/>
      <c r="V66" s="56"/>
      <c r="W66" s="57"/>
      <c r="X66" s="57"/>
      <c r="Y66" s="58"/>
      <c r="Z66" s="58"/>
      <c r="AA66" s="58"/>
      <c r="AB66" s="227"/>
      <c r="AC66" s="231"/>
      <c r="AD66" s="232"/>
      <c r="AE66" s="228"/>
      <c r="AF66" s="233"/>
      <c r="AG66" s="233"/>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9"/>
      <c r="BD66" s="228"/>
      <c r="BE66" s="228"/>
      <c r="BF66" s="228"/>
      <c r="BG66" s="230"/>
    </row>
    <row r="67" spans="1:60" ht="39" customHeight="1">
      <c r="A67" s="212"/>
      <c r="B67" s="213"/>
      <c r="C67" s="265" t="s">
        <v>1400</v>
      </c>
      <c r="D67" s="215"/>
      <c r="E67" s="216"/>
      <c r="F67" s="217"/>
      <c r="G67" s="69"/>
      <c r="H67" s="70"/>
      <c r="I67" s="53"/>
      <c r="J67" s="53"/>
      <c r="K67" s="218"/>
      <c r="L67" s="218"/>
      <c r="M67" s="219"/>
      <c r="N67" s="220"/>
      <c r="O67" s="221"/>
      <c r="P67" s="71"/>
      <c r="Q67" s="71"/>
      <c r="R67" s="266"/>
      <c r="S67" s="154"/>
      <c r="T67" s="54"/>
      <c r="U67" s="55"/>
      <c r="V67" s="56"/>
      <c r="W67" s="57"/>
      <c r="X67" s="57"/>
      <c r="Y67" s="58"/>
      <c r="Z67" s="58"/>
      <c r="AA67" s="58"/>
      <c r="AB67" s="267"/>
      <c r="AC67" s="29"/>
      <c r="AD67" s="231"/>
      <c r="AE67" s="232"/>
      <c r="AF67" s="228"/>
      <c r="AG67" s="233"/>
      <c r="AH67" s="233"/>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32"/>
      <c r="BE67" s="148"/>
      <c r="BF67" s="148"/>
      <c r="BG67" s="148"/>
      <c r="BH67" s="41"/>
    </row>
    <row r="68" spans="1:60" ht="40.5" customHeight="1">
      <c r="A68" s="42"/>
      <c r="B68" s="23"/>
      <c r="C68" s="146" t="s">
        <v>1401</v>
      </c>
      <c r="D68" s="45"/>
      <c r="E68" s="98"/>
      <c r="F68" s="133"/>
      <c r="G68" s="100"/>
      <c r="H68" s="101"/>
      <c r="I68" s="44"/>
      <c r="J68" s="44"/>
      <c r="K68" s="134"/>
      <c r="L68" s="134"/>
      <c r="M68" s="152"/>
      <c r="N68" s="153"/>
      <c r="O68" s="154"/>
      <c r="P68" s="92"/>
      <c r="Q68" s="92"/>
      <c r="R68" s="171"/>
      <c r="S68" s="154"/>
      <c r="T68" s="54"/>
      <c r="U68" s="55"/>
      <c r="V68" s="56"/>
      <c r="W68" s="57"/>
      <c r="X68" s="57"/>
      <c r="Y68" s="58"/>
      <c r="Z68" s="58"/>
      <c r="AA68" s="58"/>
      <c r="AB68" s="267"/>
      <c r="AC68" s="29"/>
      <c r="AD68" s="231"/>
      <c r="AE68" s="232"/>
      <c r="AF68" s="228"/>
      <c r="AG68" s="233"/>
      <c r="AH68" s="233"/>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32"/>
      <c r="BE68" s="148"/>
      <c r="BF68" s="148"/>
      <c r="BG68" s="148"/>
      <c r="BH68" s="41"/>
    </row>
    <row r="69" spans="1:59" ht="12.75">
      <c r="A69" s="42"/>
      <c r="B69" s="23"/>
      <c r="C69" s="91"/>
      <c r="D69" s="45"/>
      <c r="E69" s="98"/>
      <c r="F69" s="133"/>
      <c r="G69" s="100"/>
      <c r="H69" s="101"/>
      <c r="I69" s="44"/>
      <c r="J69" s="44"/>
      <c r="K69" s="134"/>
      <c r="L69" s="134"/>
      <c r="M69" s="152"/>
      <c r="N69" s="153"/>
      <c r="O69" s="154"/>
      <c r="P69" s="155"/>
      <c r="Q69" s="92"/>
      <c r="R69" s="171"/>
      <c r="S69" s="154"/>
      <c r="T69" s="54"/>
      <c r="U69" s="55"/>
      <c r="V69" s="56"/>
      <c r="W69" s="57"/>
      <c r="X69" s="57"/>
      <c r="Y69" s="58"/>
      <c r="Z69" s="58"/>
      <c r="AA69" s="58"/>
      <c r="AB69" s="29"/>
      <c r="AC69" s="231"/>
      <c r="AD69" s="232"/>
      <c r="AE69" s="228"/>
      <c r="AF69" s="233"/>
      <c r="AG69" s="233"/>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32"/>
      <c r="BD69" s="148"/>
      <c r="BE69" s="148"/>
      <c r="BF69" s="148"/>
      <c r="BG69" s="41"/>
    </row>
    <row r="70" spans="1:59" ht="12.75">
      <c r="A70" s="234"/>
      <c r="B70" s="235" t="s">
        <v>1402</v>
      </c>
      <c r="C70" s="268" t="s">
        <v>1403</v>
      </c>
      <c r="D70" s="236" t="s">
        <v>1404</v>
      </c>
      <c r="E70" s="237" t="s">
        <v>1405</v>
      </c>
      <c r="F70" s="238"/>
      <c r="G70" s="239" t="s">
        <v>1406</v>
      </c>
      <c r="H70" s="240" t="s">
        <v>1407</v>
      </c>
      <c r="I70" s="241" t="s">
        <v>1408</v>
      </c>
      <c r="J70" s="241" t="s">
        <v>1409</v>
      </c>
      <c r="K70" s="242" t="s">
        <v>1410</v>
      </c>
      <c r="L70" s="242"/>
      <c r="M70" s="243" t="s">
        <v>1411</v>
      </c>
      <c r="N70" s="244"/>
      <c r="O70" s="245"/>
      <c r="P70" s="246"/>
      <c r="Q70" s="269" t="s">
        <v>1412</v>
      </c>
      <c r="R70" s="270" t="s">
        <v>1413</v>
      </c>
      <c r="S70" s="43"/>
      <c r="T70" s="54"/>
      <c r="U70" s="55"/>
      <c r="V70" s="56"/>
      <c r="W70" s="57"/>
      <c r="X70" s="57"/>
      <c r="Y70" s="58"/>
      <c r="Z70" s="58"/>
      <c r="AA70" s="58"/>
      <c r="AB70" s="29"/>
      <c r="AC70" s="231"/>
      <c r="AD70" s="232"/>
      <c r="AE70" s="228"/>
      <c r="AF70" s="233"/>
      <c r="AG70" s="233"/>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32"/>
      <c r="BD70" s="148"/>
      <c r="BE70" s="148"/>
      <c r="BF70" s="148"/>
      <c r="BG70" s="41"/>
    </row>
    <row r="71" spans="1:59" ht="12.75">
      <c r="A71" s="234"/>
      <c r="B71" s="235"/>
      <c r="C71" s="249"/>
      <c r="D71" s="236"/>
      <c r="E71" s="237"/>
      <c r="F71" s="238"/>
      <c r="G71" s="239"/>
      <c r="H71" s="240"/>
      <c r="I71" s="241"/>
      <c r="J71" s="241"/>
      <c r="K71" s="242"/>
      <c r="L71" s="242"/>
      <c r="M71" s="243"/>
      <c r="N71" s="244"/>
      <c r="O71" s="245"/>
      <c r="P71" s="246"/>
      <c r="Q71" s="269"/>
      <c r="R71" s="270"/>
      <c r="S71" s="43"/>
      <c r="T71" s="54"/>
      <c r="U71" s="55"/>
      <c r="V71" s="56"/>
      <c r="W71" s="57"/>
      <c r="X71" s="57"/>
      <c r="Y71" s="58"/>
      <c r="Z71" s="58"/>
      <c r="AA71" s="58"/>
      <c r="AB71" s="227"/>
      <c r="AC71" s="30"/>
      <c r="AD71" s="31"/>
      <c r="AE71" s="148"/>
      <c r="AF71" s="148"/>
      <c r="AG71" s="14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9"/>
      <c r="BD71" s="228"/>
      <c r="BE71" s="228"/>
      <c r="BF71" s="228"/>
      <c r="BG71" s="230"/>
    </row>
    <row r="72" spans="1:59" ht="12.75">
      <c r="A72" s="42">
        <v>26</v>
      </c>
      <c r="B72" s="23" t="s">
        <v>1414</v>
      </c>
      <c r="C72" s="91" t="s">
        <v>1415</v>
      </c>
      <c r="D72" s="45" t="s">
        <v>1416</v>
      </c>
      <c r="E72" s="98" t="s">
        <v>1417</v>
      </c>
      <c r="F72" s="133"/>
      <c r="G72" s="100" t="s">
        <v>1418</v>
      </c>
      <c r="H72" s="101" t="s">
        <v>1419</v>
      </c>
      <c r="I72" s="44" t="str">
        <f>R</f>
        <v>Réelle</v>
      </c>
      <c r="J72" s="44" t="s">
        <v>1420</v>
      </c>
      <c r="K72" s="225" t="s">
        <v>1421</v>
      </c>
      <c r="L72" s="134"/>
      <c r="M72" s="152" t="str">
        <f>"(3)"</f>
        <v>(3)</v>
      </c>
      <c r="N72" s="153"/>
      <c r="O72" s="92" t="str">
        <f>P</f>
        <v>. . .</v>
      </c>
      <c r="P72" s="92" t="str">
        <f>"(3)"</f>
        <v>(3)</v>
      </c>
      <c r="Q72" s="92" t="str">
        <f>"(3)"</f>
        <v>(3)</v>
      </c>
      <c r="R72" s="171" t="str">
        <f>"(3)"</f>
        <v>(3)</v>
      </c>
      <c r="S72" s="43"/>
      <c r="W72" s="122" t="str">
        <f>t</f>
        <v>TVO</v>
      </c>
      <c r="X72" s="122">
        <v>5930</v>
      </c>
      <c r="Y72" s="123">
        <v>9052</v>
      </c>
      <c r="Z72" s="123">
        <v>9301</v>
      </c>
      <c r="AA72" s="58"/>
      <c r="AB72" s="227"/>
      <c r="AC72" s="30"/>
      <c r="AD72" s="31"/>
      <c r="AE72" s="32"/>
      <c r="AF72" s="32"/>
      <c r="AG72" s="32"/>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9"/>
      <c r="BD72" s="228"/>
      <c r="BE72" s="228"/>
      <c r="BF72" s="228"/>
      <c r="BG72" s="230"/>
    </row>
    <row r="73" spans="1:59" ht="12.75">
      <c r="A73" s="42">
        <v>27</v>
      </c>
      <c r="B73" s="23" t="s">
        <v>1422</v>
      </c>
      <c r="C73" s="91" t="s">
        <v>1423</v>
      </c>
      <c r="D73" s="45" t="s">
        <v>1424</v>
      </c>
      <c r="E73" s="98"/>
      <c r="F73" s="133"/>
      <c r="G73" s="100"/>
      <c r="H73" s="101"/>
      <c r="I73" s="44"/>
      <c r="J73" s="44"/>
      <c r="K73" s="134"/>
      <c r="L73" s="134"/>
      <c r="M73" s="152"/>
      <c r="N73" s="153"/>
      <c r="O73" s="154"/>
      <c r="P73" s="92"/>
      <c r="Q73" s="92"/>
      <c r="R73" s="171"/>
      <c r="S73" s="118"/>
      <c r="V73" s="121"/>
      <c r="W73" s="122"/>
      <c r="X73" s="122"/>
      <c r="Y73" s="123"/>
      <c r="Z73" s="123"/>
      <c r="AA73" s="123"/>
      <c r="AB73" s="227"/>
      <c r="AC73" s="271"/>
      <c r="AD73" s="272"/>
      <c r="AE73" s="229"/>
      <c r="AF73" s="229"/>
      <c r="AG73" s="229"/>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9"/>
      <c r="BD73" s="228"/>
      <c r="BE73" s="228"/>
      <c r="BF73" s="228"/>
      <c r="BG73" s="230"/>
    </row>
    <row r="74" spans="1:59" ht="12.75">
      <c r="A74" s="42"/>
      <c r="B74" s="23"/>
      <c r="C74" s="91" t="s">
        <v>1425</v>
      </c>
      <c r="D74" s="45" t="s">
        <v>1426</v>
      </c>
      <c r="E74" s="98" t="s">
        <v>1427</v>
      </c>
      <c r="F74" s="133"/>
      <c r="G74" s="100" t="s">
        <v>1428</v>
      </c>
      <c r="H74" s="101" t="s">
        <v>1429</v>
      </c>
      <c r="I74" s="44" t="str">
        <f>R</f>
        <v>Réelle</v>
      </c>
      <c r="J74" s="44" t="s">
        <v>1430</v>
      </c>
      <c r="K74" s="225" t="s">
        <v>1431</v>
      </c>
      <c r="L74" s="134"/>
      <c r="M74" s="152" t="str">
        <f>"(3)"</f>
        <v>(3)</v>
      </c>
      <c r="N74" s="153"/>
      <c r="O74" s="92" t="str">
        <f>P</f>
        <v>. . .</v>
      </c>
      <c r="P74" s="92" t="str">
        <f>"(3)"</f>
        <v>(3)</v>
      </c>
      <c r="Q74" s="92" t="str">
        <f>"(3)"</f>
        <v>(3)</v>
      </c>
      <c r="R74" s="171" t="str">
        <f>"(3)"</f>
        <v>(3)</v>
      </c>
      <c r="S74" s="118"/>
      <c r="W74" s="122" t="str">
        <f>t</f>
        <v>TVO</v>
      </c>
      <c r="X74" s="122">
        <v>5930</v>
      </c>
      <c r="Y74" s="123">
        <v>9052</v>
      </c>
      <c r="Z74" s="58">
        <v>9301</v>
      </c>
      <c r="AA74" s="123"/>
      <c r="AB74" s="227"/>
      <c r="AC74" s="271"/>
      <c r="AD74" s="272"/>
      <c r="AE74" s="229"/>
      <c r="AF74" s="229"/>
      <c r="AG74" s="229"/>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9"/>
      <c r="BD74" s="228"/>
      <c r="BE74" s="228"/>
      <c r="BF74" s="228"/>
      <c r="BG74" s="230"/>
    </row>
    <row r="75" spans="1:59" ht="12.75">
      <c r="A75" s="42"/>
      <c r="B75" s="23"/>
      <c r="C75" s="193"/>
      <c r="D75" s="45"/>
      <c r="E75" s="98"/>
      <c r="F75" s="133"/>
      <c r="G75" s="100"/>
      <c r="H75" s="101"/>
      <c r="I75" s="44"/>
      <c r="J75" s="44"/>
      <c r="K75" s="134"/>
      <c r="L75" s="134"/>
      <c r="M75" s="152"/>
      <c r="N75" s="153"/>
      <c r="O75" s="154"/>
      <c r="P75" s="155"/>
      <c r="Q75" s="137"/>
      <c r="R75" s="138"/>
      <c r="S75" s="43"/>
      <c r="T75" s="54"/>
      <c r="U75" s="55"/>
      <c r="V75" s="56"/>
      <c r="W75" s="122"/>
      <c r="X75" s="122"/>
      <c r="Y75" s="58"/>
      <c r="Z75" s="58"/>
      <c r="AA75" s="58"/>
      <c r="AB75" s="227"/>
      <c r="AC75" s="271"/>
      <c r="AD75" s="272"/>
      <c r="AE75" s="229"/>
      <c r="AF75" s="229"/>
      <c r="AG75" s="229"/>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9"/>
      <c r="BD75" s="228"/>
      <c r="BE75" s="228"/>
      <c r="BF75" s="228"/>
      <c r="BG75" s="230"/>
    </row>
    <row r="76" spans="1:59" ht="12.75">
      <c r="A76" s="42"/>
      <c r="B76" s="23"/>
      <c r="C76" s="91" t="s">
        <v>1432</v>
      </c>
      <c r="D76" s="45"/>
      <c r="E76" s="98"/>
      <c r="F76" s="133"/>
      <c r="G76" s="100"/>
      <c r="H76" s="101"/>
      <c r="I76" s="92"/>
      <c r="J76" s="44"/>
      <c r="K76" s="223"/>
      <c r="L76" s="134"/>
      <c r="M76" s="152"/>
      <c r="N76" s="153"/>
      <c r="O76" s="154"/>
      <c r="P76" s="155"/>
      <c r="Q76" s="155"/>
      <c r="R76" s="156"/>
      <c r="S76" s="43"/>
      <c r="T76" s="54"/>
      <c r="U76" s="55"/>
      <c r="V76" s="56"/>
      <c r="W76" s="57"/>
      <c r="X76" s="57"/>
      <c r="Y76" s="58"/>
      <c r="Z76" s="58"/>
      <c r="AA76" s="58"/>
      <c r="AB76" s="227"/>
      <c r="AC76" s="271"/>
      <c r="AD76" s="272"/>
      <c r="AE76" s="229"/>
      <c r="AF76" s="229"/>
      <c r="AG76" s="229"/>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9"/>
      <c r="BD76" s="228"/>
      <c r="BE76" s="228"/>
      <c r="BF76" s="228"/>
      <c r="BG76" s="230"/>
    </row>
    <row r="77" spans="1:59" ht="12.75">
      <c r="A77" s="42"/>
      <c r="B77" s="23"/>
      <c r="C77" s="91" t="s">
        <v>1433</v>
      </c>
      <c r="D77" s="45"/>
      <c r="E77" s="98"/>
      <c r="F77" s="133"/>
      <c r="G77" s="100"/>
      <c r="H77" s="101"/>
      <c r="I77" s="92"/>
      <c r="J77" s="44"/>
      <c r="K77" s="223"/>
      <c r="L77" s="134"/>
      <c r="M77" s="152"/>
      <c r="N77" s="153"/>
      <c r="O77" s="154"/>
      <c r="P77" s="155"/>
      <c r="Q77" s="155"/>
      <c r="R77" s="156"/>
      <c r="S77" s="43"/>
      <c r="T77" s="24"/>
      <c r="U77" s="25"/>
      <c r="V77" s="26"/>
      <c r="W77" s="27"/>
      <c r="X77" s="27"/>
      <c r="Y77" s="28"/>
      <c r="Z77" s="28"/>
      <c r="AA77" s="58"/>
      <c r="AB77" s="29"/>
      <c r="AC77" s="271"/>
      <c r="AD77" s="272"/>
      <c r="AE77" s="229"/>
      <c r="AF77" s="229"/>
      <c r="AG77" s="229"/>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9"/>
      <c r="BD77" s="228"/>
      <c r="BE77" s="228"/>
      <c r="BF77" s="228"/>
      <c r="BG77" s="230"/>
    </row>
    <row r="78" spans="1:59" ht="12.75">
      <c r="A78" s="42"/>
      <c r="B78" s="23"/>
      <c r="C78" s="91" t="s">
        <v>1434</v>
      </c>
      <c r="D78" s="45"/>
      <c r="E78" s="98"/>
      <c r="F78" s="133"/>
      <c r="G78" s="100"/>
      <c r="H78" s="101"/>
      <c r="I78" s="92"/>
      <c r="J78" s="44"/>
      <c r="K78" s="223"/>
      <c r="L78" s="134"/>
      <c r="M78" s="152"/>
      <c r="N78" s="153"/>
      <c r="O78" s="154"/>
      <c r="P78" s="92"/>
      <c r="Q78" s="155"/>
      <c r="R78" s="156"/>
      <c r="S78" s="23"/>
      <c r="T78" s="157"/>
      <c r="U78" s="158"/>
      <c r="V78" s="159"/>
      <c r="W78" s="160"/>
      <c r="X78" s="160"/>
      <c r="Y78" s="161"/>
      <c r="Z78" s="161"/>
      <c r="AA78" s="28"/>
      <c r="AB78" s="29"/>
      <c r="AC78" s="271"/>
      <c r="AD78" s="272"/>
      <c r="AE78" s="229"/>
      <c r="AF78" s="229"/>
      <c r="AG78" s="229"/>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32"/>
      <c r="BD78" s="148"/>
      <c r="BE78" s="148"/>
      <c r="BF78" s="148"/>
      <c r="BG78" s="41"/>
    </row>
    <row r="79" spans="1:59" ht="12.75">
      <c r="A79" s="42">
        <v>28</v>
      </c>
      <c r="B79" s="23" t="s">
        <v>1435</v>
      </c>
      <c r="C79" s="91" t="s">
        <v>1436</v>
      </c>
      <c r="D79" s="45" t="s">
        <v>1437</v>
      </c>
      <c r="E79" s="98">
        <f>TEChuilelégère</f>
        <v>0.047</v>
      </c>
      <c r="F79" s="133"/>
      <c r="G79" s="100" t="s">
        <v>1438</v>
      </c>
      <c r="H79" s="101" t="s">
        <v>1439</v>
      </c>
      <c r="I79" s="92">
        <f>VFWS</f>
        <v>26.71</v>
      </c>
      <c r="J79" s="44" t="s">
        <v>1440</v>
      </c>
      <c r="K79" s="223">
        <f>ROUND(I79*TEChuilelégère,2)</f>
        <v>1.26</v>
      </c>
      <c r="L79" s="134"/>
      <c r="M79" s="152">
        <f>TIFD</f>
        <v>5.66</v>
      </c>
      <c r="N79" s="153"/>
      <c r="O79" s="92" t="str">
        <f aca="true" t="shared" si="3" ref="O79:P81">P</f>
        <v>. . .</v>
      </c>
      <c r="P79" s="92" t="str">
        <f t="shared" si="3"/>
        <v>. . .</v>
      </c>
      <c r="Q79" s="155">
        <f>TVAWSCOMBUMETRO</f>
        <v>6.591480000000001</v>
      </c>
      <c r="R79" s="196">
        <f>TVAWSCOMBUCORSE</f>
        <v>4.3719</v>
      </c>
      <c r="S79" s="166"/>
      <c r="T79" s="157">
        <v>5711</v>
      </c>
      <c r="U79" s="158"/>
      <c r="W79" s="167">
        <v>5933</v>
      </c>
      <c r="X79" s="167"/>
      <c r="Y79" s="161">
        <v>4013</v>
      </c>
      <c r="Z79" s="161">
        <v>9943</v>
      </c>
      <c r="AA79" s="11">
        <v>9302</v>
      </c>
      <c r="AD79" s="272"/>
      <c r="AE79" s="229"/>
      <c r="AF79" s="229"/>
      <c r="AG79" s="229"/>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32"/>
      <c r="BD79" s="148"/>
      <c r="BE79" s="148"/>
      <c r="BF79" s="148"/>
      <c r="BG79" s="41"/>
    </row>
    <row r="80" spans="1:59" ht="12.75">
      <c r="A80" s="42">
        <v>29</v>
      </c>
      <c r="B80" s="23" t="s">
        <v>1441</v>
      </c>
      <c r="C80" s="91" t="s">
        <v>1442</v>
      </c>
      <c r="D80" s="45" t="s">
        <v>1443</v>
      </c>
      <c r="E80" s="98">
        <f>TEChuilelégère</f>
        <v>0.047</v>
      </c>
      <c r="F80" s="133"/>
      <c r="G80" s="100" t="s">
        <v>1444</v>
      </c>
      <c r="H80" s="101" t="s">
        <v>1445</v>
      </c>
      <c r="I80" s="92">
        <f>VFWS</f>
        <v>26.71</v>
      </c>
      <c r="J80" s="44" t="s">
        <v>1446</v>
      </c>
      <c r="K80" s="223">
        <f>ROUND(I80*TEChuilelégère,2)</f>
        <v>1.26</v>
      </c>
      <c r="L80" s="134"/>
      <c r="M80" s="152">
        <f>TIFD</f>
        <v>5.66</v>
      </c>
      <c r="N80" s="153"/>
      <c r="O80" s="92" t="str">
        <f t="shared" si="3"/>
        <v>. . .</v>
      </c>
      <c r="P80" s="92" t="str">
        <f t="shared" si="3"/>
        <v>. . .</v>
      </c>
      <c r="Q80" s="155">
        <f>SUM(I80:P80)*19.6%</f>
        <v>6.591480000000001</v>
      </c>
      <c r="R80" s="156">
        <f>SUM(I80:P80)*13%</f>
        <v>4.3719</v>
      </c>
      <c r="S80" s="166"/>
      <c r="T80" s="157">
        <v>5711</v>
      </c>
      <c r="U80" s="158"/>
      <c r="W80" s="167">
        <v>5933</v>
      </c>
      <c r="X80" s="167"/>
      <c r="Y80" s="161">
        <v>4013</v>
      </c>
      <c r="Z80" s="161">
        <v>9302</v>
      </c>
      <c r="AA80" s="161"/>
      <c r="AB80" s="29"/>
      <c r="AC80" s="30"/>
      <c r="AD80" s="31"/>
      <c r="AE80" s="32"/>
      <c r="AF80" s="32"/>
      <c r="AG80" s="32"/>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32"/>
      <c r="BD80" s="148"/>
      <c r="BE80" s="148"/>
      <c r="BF80" s="148"/>
      <c r="BG80" s="41"/>
    </row>
    <row r="81" spans="1:59" ht="12.75">
      <c r="A81" s="42">
        <v>30</v>
      </c>
      <c r="B81" s="23" t="s">
        <v>1447</v>
      </c>
      <c r="C81" s="91" t="s">
        <v>1448</v>
      </c>
      <c r="D81" s="45" t="s">
        <v>1449</v>
      </c>
      <c r="E81" s="98">
        <f>TEChuilelégère</f>
        <v>0.047</v>
      </c>
      <c r="F81" s="133"/>
      <c r="G81" s="100" t="s">
        <v>1450</v>
      </c>
      <c r="H81" s="101" t="s">
        <v>1451</v>
      </c>
      <c r="I81" s="92">
        <f>VFWS</f>
        <v>26.71</v>
      </c>
      <c r="J81" s="44" t="s">
        <v>1452</v>
      </c>
      <c r="K81" s="223">
        <f>ROUND(I81*TEChuilelégère,2)</f>
        <v>1.26</v>
      </c>
      <c r="L81" s="134"/>
      <c r="M81" s="273" t="s">
        <v>1453</v>
      </c>
      <c r="N81" s="153"/>
      <c r="O81" s="92" t="str">
        <f t="shared" si="3"/>
        <v>. . .</v>
      </c>
      <c r="P81" s="92" t="str">
        <f t="shared" si="3"/>
        <v>. . .</v>
      </c>
      <c r="Q81" s="155">
        <f>SUM(I81:P81)*19.6%</f>
        <v>5.482120000000001</v>
      </c>
      <c r="R81" s="156">
        <f>SUM(I81:P81)*13%</f>
        <v>3.6361000000000003</v>
      </c>
      <c r="S81" s="166"/>
      <c r="W81" s="167">
        <v>5906</v>
      </c>
      <c r="X81" s="167"/>
      <c r="Y81" s="161">
        <v>4012</v>
      </c>
      <c r="Z81" s="161">
        <v>9348</v>
      </c>
      <c r="AA81" s="161">
        <v>9302</v>
      </c>
      <c r="AB81" s="29"/>
      <c r="AC81" s="30"/>
      <c r="AD81" s="31"/>
      <c r="AE81" s="32"/>
      <c r="AF81" s="32"/>
      <c r="AG81" s="32"/>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32"/>
      <c r="BD81" s="148"/>
      <c r="BE81" s="148"/>
      <c r="BF81" s="148"/>
      <c r="BG81" s="41"/>
    </row>
    <row r="82" spans="1:59" ht="12.75">
      <c r="A82" s="42"/>
      <c r="B82" s="23"/>
      <c r="C82" s="91" t="s">
        <v>1454</v>
      </c>
      <c r="D82" s="45"/>
      <c r="E82" s="98"/>
      <c r="F82" s="133"/>
      <c r="G82" s="100"/>
      <c r="H82" s="101"/>
      <c r="I82" s="44"/>
      <c r="J82" s="44"/>
      <c r="K82" s="134"/>
      <c r="L82" s="134"/>
      <c r="M82" s="152"/>
      <c r="N82" s="153"/>
      <c r="O82" s="154"/>
      <c r="P82" s="92"/>
      <c r="Q82" s="137"/>
      <c r="R82" s="138"/>
      <c r="S82" s="166"/>
      <c r="T82" s="157"/>
      <c r="U82" s="158"/>
      <c r="V82" s="159"/>
      <c r="W82" s="160"/>
      <c r="X82" s="160"/>
      <c r="Y82" s="161"/>
      <c r="Z82" s="161"/>
      <c r="AA82" s="161"/>
      <c r="AB82" s="29"/>
      <c r="AC82" s="30"/>
      <c r="AD82" s="31"/>
      <c r="AE82" s="32"/>
      <c r="AF82" s="32"/>
      <c r="AG82" s="32"/>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32"/>
      <c r="BD82" s="148"/>
      <c r="BE82" s="148"/>
      <c r="BF82" s="148"/>
      <c r="BG82" s="41"/>
    </row>
    <row r="83" spans="1:59" ht="12.75">
      <c r="A83" s="42">
        <v>31</v>
      </c>
      <c r="B83" s="23" t="s">
        <v>1455</v>
      </c>
      <c r="C83" s="91" t="s">
        <v>1456</v>
      </c>
      <c r="D83" s="44" t="s">
        <v>1457</v>
      </c>
      <c r="E83" s="98">
        <f>TEChuilelégère</f>
        <v>0.047</v>
      </c>
      <c r="F83" s="133"/>
      <c r="G83" s="100" t="s">
        <v>1458</v>
      </c>
      <c r="H83" s="101" t="s">
        <v>1459</v>
      </c>
      <c r="I83" s="92">
        <f>VFES</f>
        <v>27.49</v>
      </c>
      <c r="J83" s="44" t="s">
        <v>1460</v>
      </c>
      <c r="K83" s="223">
        <f>ROUND(I83*TEChuilelégère,2)</f>
        <v>1.29</v>
      </c>
      <c r="L83" s="134"/>
      <c r="M83" s="152">
        <f>TISP</f>
        <v>58.92</v>
      </c>
      <c r="N83" s="153"/>
      <c r="O83" s="92" t="str">
        <f>P</f>
        <v>. . .</v>
      </c>
      <c r="P83" s="92" t="str">
        <f>P</f>
        <v>. . .</v>
      </c>
      <c r="Q83" s="155">
        <f>SUM(I83:P83)*19.6%</f>
        <v>17.1892</v>
      </c>
      <c r="R83" s="156">
        <f>SUM(I83:P83)*13%</f>
        <v>11.401000000000002</v>
      </c>
      <c r="S83" s="166"/>
      <c r="T83" s="157">
        <v>5716</v>
      </c>
      <c r="U83" s="158"/>
      <c r="W83" s="167">
        <v>5965</v>
      </c>
      <c r="X83" s="167"/>
      <c r="Y83" s="161">
        <v>9306</v>
      </c>
      <c r="Z83" s="161">
        <v>9302</v>
      </c>
      <c r="AA83" s="161"/>
      <c r="AB83" s="29"/>
      <c r="AC83" s="30"/>
      <c r="AD83" s="31"/>
      <c r="AE83" s="32"/>
      <c r="AF83" s="32"/>
      <c r="AG83" s="32"/>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32"/>
      <c r="BD83" s="148"/>
      <c r="BE83" s="148"/>
      <c r="BF83" s="148"/>
      <c r="BG83" s="41"/>
    </row>
    <row r="84" spans="1:59" ht="12.75">
      <c r="A84" s="42">
        <v>32</v>
      </c>
      <c r="B84" s="23" t="s">
        <v>1461</v>
      </c>
      <c r="C84" s="91" t="s">
        <v>1462</v>
      </c>
      <c r="D84" s="44" t="s">
        <v>1463</v>
      </c>
      <c r="E84" s="98">
        <f>TEChuilelégère</f>
        <v>0.047</v>
      </c>
      <c r="F84" s="133"/>
      <c r="G84" s="100" t="s">
        <v>1464</v>
      </c>
      <c r="H84" s="101" t="s">
        <v>1465</v>
      </c>
      <c r="I84" s="92">
        <f>VFES</f>
        <v>27.49</v>
      </c>
      <c r="J84" s="44" t="s">
        <v>1466</v>
      </c>
      <c r="K84" s="223">
        <f>ROUND(I84*TEChuilelégère,2)</f>
        <v>1.29</v>
      </c>
      <c r="L84" s="134"/>
      <c r="M84" s="273" t="s">
        <v>1467</v>
      </c>
      <c r="N84" s="274"/>
      <c r="O84" s="92" t="str">
        <f>P</f>
        <v>. . .</v>
      </c>
      <c r="P84" s="92" t="str">
        <f>P</f>
        <v>. . .</v>
      </c>
      <c r="Q84" s="155">
        <f>SUM(I84:P84)*19.6%</f>
        <v>5.64088</v>
      </c>
      <c r="R84" s="156">
        <f>SUM(I84:P84)*13%</f>
        <v>3.7413999999999996</v>
      </c>
      <c r="S84" s="166"/>
      <c r="W84" s="195">
        <v>5908</v>
      </c>
      <c r="X84" s="195"/>
      <c r="Y84" s="28">
        <v>4012</v>
      </c>
      <c r="Z84" s="28">
        <v>9302</v>
      </c>
      <c r="AA84" s="161"/>
      <c r="AB84" s="29"/>
      <c r="AC84" s="30"/>
      <c r="AD84" s="31"/>
      <c r="AE84" s="32"/>
      <c r="AF84" s="32"/>
      <c r="AG84" s="32"/>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32"/>
      <c r="BD84" s="148"/>
      <c r="BE84" s="148"/>
      <c r="BF84" s="148"/>
      <c r="BG84" s="41"/>
    </row>
    <row r="85" spans="1:59" ht="12.75">
      <c r="A85" s="42"/>
      <c r="B85" s="250"/>
      <c r="C85" s="275"/>
      <c r="D85" s="45"/>
      <c r="E85" s="98"/>
      <c r="F85" s="133"/>
      <c r="G85" s="100"/>
      <c r="H85" s="101"/>
      <c r="I85" s="44"/>
      <c r="J85" s="44"/>
      <c r="K85" s="134"/>
      <c r="L85" s="134"/>
      <c r="M85" s="152"/>
      <c r="N85" s="153"/>
      <c r="O85" s="154"/>
      <c r="P85" s="155"/>
      <c r="Q85" s="137"/>
      <c r="R85" s="138"/>
      <c r="S85" s="23"/>
      <c r="T85" s="157"/>
      <c r="U85" s="158"/>
      <c r="V85" s="159"/>
      <c r="W85" s="160"/>
      <c r="X85" s="160"/>
      <c r="Y85" s="161"/>
      <c r="Z85" s="161"/>
      <c r="AA85" s="28"/>
      <c r="AB85" s="29"/>
      <c r="AC85" s="30"/>
      <c r="AD85" s="31"/>
      <c r="AE85" s="32"/>
      <c r="AF85" s="32"/>
      <c r="AG85" s="32"/>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32"/>
      <c r="BD85" s="148"/>
      <c r="BE85" s="148"/>
      <c r="BF85" s="148"/>
      <c r="BG85" s="41"/>
    </row>
    <row r="86" spans="1:59" ht="12.75">
      <c r="A86" s="42"/>
      <c r="B86" s="23"/>
      <c r="C86" s="91" t="s">
        <v>1468</v>
      </c>
      <c r="D86" s="45"/>
      <c r="E86" s="98"/>
      <c r="F86" s="133"/>
      <c r="G86" s="100"/>
      <c r="H86" s="101"/>
      <c r="I86" s="44"/>
      <c r="J86" s="44"/>
      <c r="K86" s="134"/>
      <c r="L86" s="134"/>
      <c r="M86" s="152"/>
      <c r="N86" s="153"/>
      <c r="O86" s="154"/>
      <c r="P86" s="155"/>
      <c r="Q86" s="137"/>
      <c r="R86" s="138"/>
      <c r="S86" s="166"/>
      <c r="T86" s="157"/>
      <c r="U86" s="158"/>
      <c r="V86" s="159"/>
      <c r="W86" s="160"/>
      <c r="X86" s="160"/>
      <c r="Y86" s="161"/>
      <c r="Z86" s="161"/>
      <c r="AA86" s="161"/>
      <c r="AB86" s="29"/>
      <c r="AC86" s="30"/>
      <c r="AD86" s="31"/>
      <c r="AE86" s="32"/>
      <c r="AF86" s="32"/>
      <c r="AG86" s="32"/>
      <c r="AH86" s="148"/>
      <c r="AI86" s="32"/>
      <c r="AJ86" s="32"/>
      <c r="AK86" s="32"/>
      <c r="AL86" s="148"/>
      <c r="AM86" s="148"/>
      <c r="AN86" s="32"/>
      <c r="AO86" s="32"/>
      <c r="AP86" s="32"/>
      <c r="AQ86" s="32"/>
      <c r="AR86" s="32"/>
      <c r="AS86" s="32"/>
      <c r="AT86" s="32"/>
      <c r="AU86" s="32"/>
      <c r="AV86" s="32"/>
      <c r="AW86" s="32"/>
      <c r="AX86" s="32"/>
      <c r="AY86" s="32"/>
      <c r="AZ86" s="32"/>
      <c r="BA86" s="32"/>
      <c r="BB86" s="32"/>
      <c r="BC86" s="32"/>
      <c r="BD86" s="32"/>
      <c r="BE86" s="32"/>
      <c r="BF86" s="32"/>
      <c r="BG86" s="41"/>
    </row>
    <row r="87" spans="1:59" ht="12.75">
      <c r="A87" s="42"/>
      <c r="B87" s="23"/>
      <c r="C87" s="91" t="s">
        <v>1469</v>
      </c>
      <c r="D87" s="45"/>
      <c r="E87" s="98"/>
      <c r="F87" s="133"/>
      <c r="G87" s="100"/>
      <c r="H87" s="101"/>
      <c r="I87" s="92"/>
      <c r="J87" s="44"/>
      <c r="K87" s="223"/>
      <c r="L87" s="134"/>
      <c r="M87" s="152"/>
      <c r="N87" s="153"/>
      <c r="O87" s="154"/>
      <c r="P87" s="92"/>
      <c r="Q87" s="155"/>
      <c r="R87" s="156"/>
      <c r="S87" s="166"/>
      <c r="T87" s="24"/>
      <c r="U87" s="25"/>
      <c r="V87" s="26"/>
      <c r="W87" s="27"/>
      <c r="X87" s="27"/>
      <c r="Y87" s="28"/>
      <c r="Z87" s="28"/>
      <c r="AA87" s="161"/>
      <c r="AB87" s="29"/>
      <c r="AC87" s="30"/>
      <c r="AD87" s="272"/>
      <c r="AE87" s="229"/>
      <c r="AF87" s="229"/>
      <c r="AG87" s="229"/>
      <c r="AH87" s="148"/>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41"/>
    </row>
    <row r="88" spans="1:59" s="5" customFormat="1" ht="12.75">
      <c r="A88" s="276">
        <v>33</v>
      </c>
      <c r="B88" s="23" t="s">
        <v>1470</v>
      </c>
      <c r="C88" s="91" t="s">
        <v>1471</v>
      </c>
      <c r="D88" s="44" t="s">
        <v>1472</v>
      </c>
      <c r="E88" s="98">
        <f>TEChuilelégère</f>
        <v>0.047</v>
      </c>
      <c r="F88" s="133"/>
      <c r="G88" s="194" t="s">
        <v>1473</v>
      </c>
      <c r="H88" s="43" t="s">
        <v>1474</v>
      </c>
      <c r="I88" s="92">
        <f>VFEA</f>
        <v>27.49</v>
      </c>
      <c r="J88" s="44" t="s">
        <v>1475</v>
      </c>
      <c r="K88" s="166">
        <f>ROUND(I88*TEChuilelégère,2)</f>
        <v>1.29</v>
      </c>
      <c r="L88" s="133"/>
      <c r="M88" s="152">
        <f>TIEA</f>
        <v>32.36</v>
      </c>
      <c r="N88" s="153"/>
      <c r="O88" s="154" t="str">
        <f>P</f>
        <v>. . .</v>
      </c>
      <c r="P88" s="92" t="str">
        <f>"(18)"</f>
        <v>(18)</v>
      </c>
      <c r="Q88" s="155">
        <f>SUM(I88:P88)*19.6%</f>
        <v>11.98344</v>
      </c>
      <c r="R88" s="156">
        <f>SUM(I88:P88)*13%</f>
        <v>7.9482</v>
      </c>
      <c r="S88" s="23"/>
      <c r="T88" s="24">
        <v>5708</v>
      </c>
      <c r="U88" s="25"/>
      <c r="V88" s="9">
        <v>5727</v>
      </c>
      <c r="W88" s="195">
        <v>5909</v>
      </c>
      <c r="X88" s="277"/>
      <c r="Y88" s="28">
        <v>9306</v>
      </c>
      <c r="Z88" s="28">
        <v>9301</v>
      </c>
      <c r="AA88" s="28"/>
      <c r="AB88" s="29"/>
      <c r="AC88" s="30"/>
      <c r="AD88" s="31"/>
      <c r="AE88" s="32"/>
      <c r="AF88" s="32"/>
      <c r="AG88" s="32"/>
      <c r="AH88" s="148"/>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41"/>
    </row>
    <row r="89" spans="1:59" ht="12.75">
      <c r="A89" s="42"/>
      <c r="B89" s="23"/>
      <c r="C89" s="91" t="s">
        <v>1476</v>
      </c>
      <c r="D89" s="45"/>
      <c r="E89" s="98"/>
      <c r="F89" s="133"/>
      <c r="G89" s="100"/>
      <c r="H89" s="101"/>
      <c r="I89" s="92"/>
      <c r="J89" s="44"/>
      <c r="K89" s="223"/>
      <c r="L89" s="134"/>
      <c r="M89" s="152"/>
      <c r="N89" s="153"/>
      <c r="O89" s="154"/>
      <c r="P89" s="92"/>
      <c r="Q89" s="155"/>
      <c r="R89" s="156"/>
      <c r="S89" s="23"/>
      <c r="T89" s="157"/>
      <c r="U89" s="158"/>
      <c r="V89" s="159"/>
      <c r="W89" s="160"/>
      <c r="X89" s="160"/>
      <c r="Y89" s="161"/>
      <c r="Z89" s="161"/>
      <c r="AA89" s="28"/>
      <c r="AB89" s="29"/>
      <c r="AC89" s="30"/>
      <c r="AD89" s="31"/>
      <c r="AE89" s="32"/>
      <c r="AF89" s="32"/>
      <c r="AG89" s="32"/>
      <c r="AH89" s="148"/>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41"/>
    </row>
    <row r="90" spans="1:59" ht="12.75">
      <c r="A90" s="42"/>
      <c r="B90" s="23"/>
      <c r="C90" s="91" t="s">
        <v>1477</v>
      </c>
      <c r="D90" s="278"/>
      <c r="E90" s="279"/>
      <c r="F90" s="250"/>
      <c r="G90" s="280"/>
      <c r="H90" s="280"/>
      <c r="I90" s="275"/>
      <c r="J90" s="275"/>
      <c r="K90" s="281"/>
      <c r="L90" s="281"/>
      <c r="M90" s="282"/>
      <c r="N90" s="283"/>
      <c r="O90" s="284"/>
      <c r="P90" s="275"/>
      <c r="Q90" s="285"/>
      <c r="R90" s="286"/>
      <c r="S90" s="166"/>
      <c r="T90" s="157"/>
      <c r="U90" s="158"/>
      <c r="V90" s="159"/>
      <c r="W90" s="160"/>
      <c r="X90" s="160"/>
      <c r="Y90" s="161"/>
      <c r="Z90" s="161"/>
      <c r="AA90" s="161"/>
      <c r="AB90" s="29"/>
      <c r="AC90" s="30"/>
      <c r="AD90" s="43"/>
      <c r="AE90" s="23"/>
      <c r="AF90" s="23"/>
      <c r="AG90" s="23"/>
      <c r="AH90" s="148"/>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41"/>
    </row>
    <row r="91" spans="1:59" ht="12.75">
      <c r="A91" s="42"/>
      <c r="B91" s="23"/>
      <c r="C91" s="91" t="s">
        <v>1478</v>
      </c>
      <c r="D91" s="45"/>
      <c r="E91" s="98"/>
      <c r="F91" s="133"/>
      <c r="G91" s="100"/>
      <c r="H91" s="101"/>
      <c r="I91" s="92"/>
      <c r="J91" s="44"/>
      <c r="K91" s="223"/>
      <c r="L91" s="134"/>
      <c r="M91" s="152"/>
      <c r="N91" s="153"/>
      <c r="O91" s="154"/>
      <c r="P91" s="92"/>
      <c r="Q91" s="155"/>
      <c r="R91" s="196"/>
      <c r="S91" s="166"/>
      <c r="U91" s="158"/>
      <c r="V91" s="159"/>
      <c r="W91" s="160"/>
      <c r="X91" s="160"/>
      <c r="Y91" s="161"/>
      <c r="Z91" s="161"/>
      <c r="AA91" s="161"/>
      <c r="AB91" s="29"/>
      <c r="AC91" s="30"/>
      <c r="AD91" s="43"/>
      <c r="AE91" s="23"/>
      <c r="AF91" s="23"/>
      <c r="AG91" s="23"/>
      <c r="AH91" s="229"/>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41"/>
    </row>
    <row r="92" spans="1:59" ht="12.75">
      <c r="A92" s="42">
        <v>34</v>
      </c>
      <c r="B92" s="23" t="s">
        <v>1479</v>
      </c>
      <c r="C92" s="91" t="s">
        <v>1480</v>
      </c>
      <c r="D92" s="45" t="s">
        <v>1481</v>
      </c>
      <c r="E92" s="98">
        <f>TEChuilelégère</f>
        <v>0.047</v>
      </c>
      <c r="F92" s="133"/>
      <c r="G92" s="100" t="s">
        <v>1482</v>
      </c>
      <c r="H92" s="101" t="s">
        <v>1483</v>
      </c>
      <c r="I92" s="92">
        <f>vfspb</f>
        <v>27.49</v>
      </c>
      <c r="J92" s="44" t="s">
        <v>1484</v>
      </c>
      <c r="K92" s="223">
        <f>ROUND(I92*TEChuilelégère,2)</f>
        <v>1.29</v>
      </c>
      <c r="L92" s="134"/>
      <c r="M92" s="152">
        <f>TISP</f>
        <v>58.92</v>
      </c>
      <c r="N92" s="153" t="s">
        <v>1485</v>
      </c>
      <c r="O92" s="154" t="str">
        <f>P</f>
        <v>. . .</v>
      </c>
      <c r="P92" s="92" t="str">
        <f>"(18)"</f>
        <v>(18)</v>
      </c>
      <c r="Q92" s="155">
        <f>TVASPMETRO</f>
        <v>17.1892</v>
      </c>
      <c r="R92" s="196">
        <f>TVASPCORSE</f>
        <v>11.271</v>
      </c>
      <c r="S92" s="166"/>
      <c r="T92" s="157">
        <v>5720</v>
      </c>
      <c r="U92" s="158">
        <v>5716</v>
      </c>
      <c r="V92" s="159">
        <v>5727</v>
      </c>
      <c r="Y92" s="287">
        <v>5928</v>
      </c>
      <c r="Z92" s="161">
        <v>9301</v>
      </c>
      <c r="AA92" s="161"/>
      <c r="AB92" s="29"/>
      <c r="AC92" s="30"/>
      <c r="AD92" s="43"/>
      <c r="AE92" s="23"/>
      <c r="AF92" s="23"/>
      <c r="AG92" s="23"/>
      <c r="AH92" s="229"/>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41"/>
    </row>
    <row r="93" spans="1:59" ht="12.75">
      <c r="A93" s="197">
        <v>35</v>
      </c>
      <c r="B93" s="198" t="s">
        <v>1486</v>
      </c>
      <c r="C93" s="288" t="s">
        <v>1487</v>
      </c>
      <c r="D93" s="205" t="s">
        <v>1488</v>
      </c>
      <c r="E93" s="201">
        <f>TEChuilelégère</f>
        <v>0.047</v>
      </c>
      <c r="F93" s="202"/>
      <c r="G93" s="203" t="s">
        <v>1489</v>
      </c>
      <c r="H93" s="204" t="s">
        <v>1490</v>
      </c>
      <c r="I93" s="210" t="str">
        <f>R</f>
        <v>Réelle</v>
      </c>
      <c r="J93" s="205" t="s">
        <v>1491</v>
      </c>
      <c r="K93" s="289">
        <f>TEChuilelégère</f>
        <v>0.047</v>
      </c>
      <c r="L93" s="206"/>
      <c r="M93" s="207" t="str">
        <f>"(9)"</f>
        <v>(9)</v>
      </c>
      <c r="N93" s="208"/>
      <c r="O93" s="209" t="str">
        <f>P</f>
        <v>. . .</v>
      </c>
      <c r="P93" s="210" t="str">
        <f>P</f>
        <v>. . .</v>
      </c>
      <c r="Q93" s="210" t="str">
        <f>VI</f>
        <v>(25)</v>
      </c>
      <c r="R93" s="211" t="str">
        <f>VI</f>
        <v>(25)</v>
      </c>
      <c r="S93" s="166"/>
      <c r="T93" s="157">
        <v>5717</v>
      </c>
      <c r="U93" s="158"/>
      <c r="W93" s="160" t="str">
        <f>t</f>
        <v>TVO</v>
      </c>
      <c r="X93" s="160"/>
      <c r="Y93" s="161">
        <v>4004</v>
      </c>
      <c r="Z93" s="161">
        <v>4006</v>
      </c>
      <c r="AA93" s="161">
        <v>9301</v>
      </c>
      <c r="AB93" s="29"/>
      <c r="AC93" s="30"/>
      <c r="AD93" s="43"/>
      <c r="AE93" s="23"/>
      <c r="AF93" s="23"/>
      <c r="AG93" s="23"/>
      <c r="AH93" s="229"/>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41"/>
    </row>
    <row r="94" spans="1:92" s="293" customFormat="1" ht="12.75">
      <c r="A94" s="118"/>
      <c r="B94" s="235"/>
      <c r="C94" s="290" t="s">
        <v>1492</v>
      </c>
      <c r="D94" s="291">
        <f>TISP-1</f>
        <v>57.92</v>
      </c>
      <c r="E94" s="292" t="s">
        <v>1493</v>
      </c>
      <c r="F94" s="238"/>
      <c r="G94" s="240"/>
      <c r="H94" s="240"/>
      <c r="K94" s="294" t="s">
        <v>1494</v>
      </c>
      <c r="L94" s="242"/>
      <c r="M94" s="295"/>
      <c r="N94" s="295"/>
      <c r="O94" s="245"/>
      <c r="P94" s="245"/>
      <c r="Q94" s="296">
        <f>TIARS-1</f>
        <v>62.96</v>
      </c>
      <c r="R94" s="297" t="s">
        <v>1495</v>
      </c>
      <c r="S94" s="166"/>
      <c r="T94" s="298"/>
      <c r="U94" s="299"/>
      <c r="V94" s="300"/>
      <c r="W94" s="301"/>
      <c r="X94" s="301"/>
      <c r="Y94" s="302"/>
      <c r="Z94" s="302"/>
      <c r="AA94" s="303"/>
      <c r="AB94" s="304"/>
      <c r="AC94" s="30"/>
      <c r="AD94" s="43"/>
      <c r="AE94" s="23"/>
      <c r="AF94" s="23"/>
      <c r="AG94" s="23"/>
      <c r="AH94" s="229"/>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41"/>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c r="CF94" s="250"/>
      <c r="CG94" s="250"/>
      <c r="CH94" s="250"/>
      <c r="CI94" s="250"/>
      <c r="CJ94" s="250"/>
      <c r="CK94" s="250"/>
      <c r="CL94" s="250"/>
      <c r="CM94" s="250"/>
      <c r="CN94" s="250"/>
    </row>
    <row r="95" spans="1:60" ht="12.75">
      <c r="A95" s="212"/>
      <c r="B95" s="305"/>
      <c r="C95" s="306" t="s">
        <v>1496</v>
      </c>
      <c r="D95" s="307"/>
      <c r="E95" s="308"/>
      <c r="F95" s="305"/>
      <c r="G95" s="309"/>
      <c r="H95" s="310"/>
      <c r="I95" s="311"/>
      <c r="J95" s="311"/>
      <c r="K95" s="312"/>
      <c r="L95" s="312"/>
      <c r="M95" s="313"/>
      <c r="N95" s="314"/>
      <c r="O95" s="315"/>
      <c r="P95" s="311"/>
      <c r="Q95" s="316"/>
      <c r="R95" s="317"/>
      <c r="S95" s="318"/>
      <c r="U95" s="158"/>
      <c r="AA95" s="28"/>
      <c r="AB95" s="319"/>
      <c r="AC95" s="29"/>
      <c r="AD95" s="30"/>
      <c r="AE95" s="43"/>
      <c r="AF95" s="23"/>
      <c r="AG95" s="23"/>
      <c r="AH95" s="23"/>
      <c r="AI95" s="229"/>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250"/>
    </row>
    <row r="96" spans="1:59" ht="36" customHeight="1">
      <c r="A96" s="320">
        <v>36</v>
      </c>
      <c r="B96" s="321" t="s">
        <v>1497</v>
      </c>
      <c r="C96" s="322" t="s">
        <v>1498</v>
      </c>
      <c r="D96" s="323" t="s">
        <v>1499</v>
      </c>
      <c r="E96" s="324">
        <f>TEChuilelégère</f>
        <v>0.047</v>
      </c>
      <c r="F96" s="325"/>
      <c r="G96" s="326" t="s">
        <v>1500</v>
      </c>
      <c r="H96" s="327" t="s">
        <v>1501</v>
      </c>
      <c r="I96" s="328">
        <f>VFARS</f>
        <v>27.49</v>
      </c>
      <c r="J96" s="329" t="s">
        <v>1502</v>
      </c>
      <c r="K96" s="330">
        <f>ROUND(I96*TEChuilelégère,2)</f>
        <v>1.29</v>
      </c>
      <c r="L96" s="331"/>
      <c r="M96" s="332">
        <f>TIARS</f>
        <v>63.96</v>
      </c>
      <c r="N96" s="333" t="s">
        <v>1503</v>
      </c>
      <c r="O96" s="334" t="str">
        <f>P</f>
        <v>. . .</v>
      </c>
      <c r="P96" s="328" t="str">
        <f>"(18)"</f>
        <v>(18)</v>
      </c>
      <c r="Q96" s="335">
        <f>SUM(I96:P96)*19.6%</f>
        <v>18.177039999999998</v>
      </c>
      <c r="R96" s="336">
        <f>(SUM(I96:P96)-1)*13%</f>
        <v>11.9262</v>
      </c>
      <c r="S96" s="41"/>
      <c r="T96" s="337">
        <v>5706</v>
      </c>
      <c r="U96" s="338">
        <v>5720</v>
      </c>
      <c r="V96" s="339">
        <v>5727</v>
      </c>
      <c r="W96" s="340">
        <v>5923</v>
      </c>
      <c r="X96" s="340"/>
      <c r="Y96" s="341">
        <v>9301</v>
      </c>
      <c r="Z96" s="342"/>
      <c r="AB96" s="29"/>
      <c r="AC96" s="30"/>
      <c r="AD96" s="43"/>
      <c r="AE96" s="23"/>
      <c r="AF96" s="23"/>
      <c r="AG96" s="23"/>
      <c r="AH96" s="229"/>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41"/>
    </row>
    <row r="97" spans="1:59" ht="42" customHeight="1">
      <c r="A97" s="320">
        <v>37</v>
      </c>
      <c r="B97" s="343" t="s">
        <v>1504</v>
      </c>
      <c r="C97" s="344" t="s">
        <v>1505</v>
      </c>
      <c r="D97" s="323" t="s">
        <v>1506</v>
      </c>
      <c r="E97" s="324">
        <f>TEChuilelégère</f>
        <v>0.047</v>
      </c>
      <c r="F97" s="325"/>
      <c r="G97" s="326" t="s">
        <v>1507</v>
      </c>
      <c r="H97" s="327" t="s">
        <v>1508</v>
      </c>
      <c r="I97" s="328">
        <f>VFARS</f>
        <v>27.49</v>
      </c>
      <c r="J97" s="329" t="s">
        <v>1509</v>
      </c>
      <c r="K97" s="330">
        <f>ROUND(I97*TEChuilelégère,2)</f>
        <v>1.29</v>
      </c>
      <c r="L97" s="331"/>
      <c r="M97" s="332">
        <f>TIARS</f>
        <v>63.96</v>
      </c>
      <c r="N97" s="333" t="s">
        <v>1510</v>
      </c>
      <c r="O97" s="334" t="str">
        <f>P</f>
        <v>. . .</v>
      </c>
      <c r="P97" s="328" t="str">
        <f>"(18)"</f>
        <v>(18)</v>
      </c>
      <c r="Q97" s="335">
        <f>TVAARSMETRO</f>
        <v>18.177039999999998</v>
      </c>
      <c r="R97" s="336">
        <f>TVAARSCORSE</f>
        <v>11.9262</v>
      </c>
      <c r="S97" s="166"/>
      <c r="T97" s="337">
        <v>5706</v>
      </c>
      <c r="U97" s="338"/>
      <c r="V97" s="345">
        <v>5727</v>
      </c>
      <c r="W97" s="346">
        <v>5923</v>
      </c>
      <c r="X97" s="346"/>
      <c r="Y97" s="341">
        <v>9109</v>
      </c>
      <c r="Z97" s="341">
        <v>9301</v>
      </c>
      <c r="AA97" s="342">
        <v>5720</v>
      </c>
      <c r="AB97" s="29"/>
      <c r="AD97" s="43"/>
      <c r="AE97" s="23"/>
      <c r="AF97" s="23"/>
      <c r="AG97" s="23"/>
      <c r="AH97" s="229"/>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41"/>
    </row>
    <row r="98" spans="1:59" ht="12.75">
      <c r="A98" s="347">
        <v>38</v>
      </c>
      <c r="B98" s="348" t="s">
        <v>1511</v>
      </c>
      <c r="C98" s="189" t="s">
        <v>1512</v>
      </c>
      <c r="D98" s="44" t="s">
        <v>1513</v>
      </c>
      <c r="E98" s="98">
        <f>TEChuilelégère</f>
        <v>0.047</v>
      </c>
      <c r="F98" s="133"/>
      <c r="G98" s="194" t="s">
        <v>1514</v>
      </c>
      <c r="H98" s="43" t="s">
        <v>1515</v>
      </c>
      <c r="I98" s="92">
        <f>vfspb</f>
        <v>27.49</v>
      </c>
      <c r="J98" s="44" t="s">
        <v>1516</v>
      </c>
      <c r="K98" s="166">
        <f>ROUND(I98*TEChuilelégère,2)</f>
        <v>1.29</v>
      </c>
      <c r="L98" s="133"/>
      <c r="M98" s="152">
        <f>TISP</f>
        <v>58.92</v>
      </c>
      <c r="N98" s="153" t="s">
        <v>1517</v>
      </c>
      <c r="O98" s="154" t="str">
        <f>P</f>
        <v>. . .</v>
      </c>
      <c r="P98" s="92" t="str">
        <f>"(18)"</f>
        <v>(18)</v>
      </c>
      <c r="Q98" s="155">
        <f>SUM(I98:P98)*19.6%</f>
        <v>17.1892</v>
      </c>
      <c r="R98" s="156">
        <f>(SUM(I98:P98)-1)*13%</f>
        <v>11.271</v>
      </c>
      <c r="S98" s="166"/>
      <c r="T98" s="349">
        <v>5735</v>
      </c>
      <c r="U98" s="350"/>
      <c r="V98" s="9">
        <v>5727</v>
      </c>
      <c r="W98" s="351">
        <v>5928</v>
      </c>
      <c r="X98" s="351"/>
      <c r="Y98" s="11">
        <v>9301</v>
      </c>
      <c r="Z98" s="11">
        <v>5720</v>
      </c>
      <c r="AB98" s="79"/>
      <c r="AC98" s="147"/>
      <c r="AD98" s="139"/>
      <c r="AE98" s="41"/>
      <c r="AF98" s="41"/>
      <c r="AG98" s="41"/>
      <c r="AH98" s="41"/>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41"/>
    </row>
    <row r="99" spans="1:59" ht="12.75">
      <c r="A99" s="347">
        <v>39</v>
      </c>
      <c r="B99" s="348" t="s">
        <v>1518</v>
      </c>
      <c r="C99" s="189" t="s">
        <v>1519</v>
      </c>
      <c r="D99" s="44" t="s">
        <v>1520</v>
      </c>
      <c r="E99" s="98">
        <f>TEChuilelégère</f>
        <v>0.047</v>
      </c>
      <c r="F99" s="133"/>
      <c r="G99" s="100" t="s">
        <v>1521</v>
      </c>
      <c r="H99" s="101" t="s">
        <v>1522</v>
      </c>
      <c r="I99" s="92" t="str">
        <f>R</f>
        <v>Réelle</v>
      </c>
      <c r="J99" s="44" t="s">
        <v>1523</v>
      </c>
      <c r="K99" s="352">
        <f>TEChuilelégère</f>
        <v>0.047</v>
      </c>
      <c r="L99" s="134"/>
      <c r="M99" s="152" t="str">
        <f>"(9)"</f>
        <v>(9)</v>
      </c>
      <c r="N99" s="153"/>
      <c r="O99" s="154" t="str">
        <f>P</f>
        <v>. . .</v>
      </c>
      <c r="P99" s="92" t="str">
        <f>P</f>
        <v>. . .</v>
      </c>
      <c r="Q99" s="92" t="str">
        <f>VI</f>
        <v>(25)</v>
      </c>
      <c r="R99" s="171" t="str">
        <f>VI</f>
        <v>(25)</v>
      </c>
      <c r="S99" s="295"/>
      <c r="T99" s="353">
        <v>5717</v>
      </c>
      <c r="U99" s="354"/>
      <c r="W99" s="10" t="str">
        <f>t</f>
        <v>TVO</v>
      </c>
      <c r="Y99" s="11">
        <v>4004</v>
      </c>
      <c r="Z99" s="11">
        <v>4006</v>
      </c>
      <c r="AA99" s="11">
        <v>9301</v>
      </c>
      <c r="AB99" s="224"/>
      <c r="AC99" s="147"/>
      <c r="AD99" s="139"/>
      <c r="AE99" s="41"/>
      <c r="AF99" s="41"/>
      <c r="AG99" s="41"/>
      <c r="AH99" s="41"/>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41"/>
    </row>
    <row r="100" spans="1:59" ht="12.75">
      <c r="A100" s="355"/>
      <c r="B100" s="189"/>
      <c r="C100" s="91" t="s">
        <v>1524</v>
      </c>
      <c r="D100" s="278"/>
      <c r="E100" s="279"/>
      <c r="F100" s="250"/>
      <c r="G100" s="280"/>
      <c r="H100" s="280"/>
      <c r="I100" s="275"/>
      <c r="J100" s="275"/>
      <c r="K100" s="281"/>
      <c r="L100" s="281"/>
      <c r="M100" s="282"/>
      <c r="N100" s="283"/>
      <c r="O100" s="284"/>
      <c r="P100" s="275"/>
      <c r="Q100" s="285"/>
      <c r="R100" s="286"/>
      <c r="S100" s="295"/>
      <c r="T100" s="353"/>
      <c r="U100" s="354"/>
      <c r="AB100" s="224"/>
      <c r="AC100" s="147"/>
      <c r="AD100" s="139"/>
      <c r="AE100" s="41"/>
      <c r="AF100" s="41"/>
      <c r="AG100" s="41"/>
      <c r="AH100" s="41"/>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41"/>
    </row>
    <row r="101" spans="1:59" ht="21" customHeight="1">
      <c r="A101" s="320">
        <v>40</v>
      </c>
      <c r="B101" s="343" t="s">
        <v>1525</v>
      </c>
      <c r="C101" s="776" t="s">
        <v>1526</v>
      </c>
      <c r="D101" s="236" t="s">
        <v>1527</v>
      </c>
      <c r="E101" s="237">
        <f>TEChuilelégère</f>
        <v>0.047</v>
      </c>
      <c r="F101" s="238"/>
      <c r="G101" s="239" t="s">
        <v>1528</v>
      </c>
      <c r="H101" s="240" t="s">
        <v>1529</v>
      </c>
      <c r="I101" s="269">
        <f>VFARS</f>
        <v>27.49</v>
      </c>
      <c r="J101" s="241" t="s">
        <v>1530</v>
      </c>
      <c r="K101" s="356">
        <f>ROUND(I101*TEChuilelégère,2)</f>
        <v>1.29</v>
      </c>
      <c r="L101" s="242"/>
      <c r="M101" s="243">
        <f>TIARS</f>
        <v>63.96</v>
      </c>
      <c r="N101" s="244" t="s">
        <v>1531</v>
      </c>
      <c r="O101" s="154" t="str">
        <f>P</f>
        <v>. . .</v>
      </c>
      <c r="P101" s="269" t="str">
        <f>"(18)"</f>
        <v>(18)</v>
      </c>
      <c r="Q101" s="246">
        <f>TVAARSMETRO</f>
        <v>18.177039999999998</v>
      </c>
      <c r="R101" s="357">
        <f>TVAARSCORSE</f>
        <v>11.9262</v>
      </c>
      <c r="S101" s="41"/>
      <c r="T101" s="157">
        <v>5737</v>
      </c>
      <c r="U101" s="158"/>
      <c r="V101" s="159">
        <v>5727</v>
      </c>
      <c r="W101" s="167">
        <v>5923</v>
      </c>
      <c r="X101" s="167"/>
      <c r="Y101" s="161">
        <v>5727</v>
      </c>
      <c r="Z101" s="11">
        <v>9301</v>
      </c>
      <c r="AA101" s="11">
        <v>5720</v>
      </c>
      <c r="AB101" s="224"/>
      <c r="AC101" s="30"/>
      <c r="AD101" s="139"/>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row>
    <row r="102" spans="1:59" ht="12.75">
      <c r="A102" s="234"/>
      <c r="B102" s="235"/>
      <c r="C102" s="776"/>
      <c r="D102" s="236"/>
      <c r="E102" s="237"/>
      <c r="F102" s="238"/>
      <c r="G102" s="239"/>
      <c r="H102" s="240"/>
      <c r="I102" s="269"/>
      <c r="J102" s="241"/>
      <c r="K102" s="356"/>
      <c r="L102" s="242"/>
      <c r="M102" s="243"/>
      <c r="N102" s="244"/>
      <c r="O102" s="154"/>
      <c r="P102" s="269"/>
      <c r="Q102" s="246"/>
      <c r="R102" s="357"/>
      <c r="S102" s="41"/>
      <c r="T102" s="157"/>
      <c r="U102" s="158"/>
      <c r="V102" s="159"/>
      <c r="W102" s="167"/>
      <c r="X102" s="167"/>
      <c r="Y102" s="161"/>
      <c r="AA102" s="161"/>
      <c r="AB102" s="29"/>
      <c r="AC102" s="30"/>
      <c r="AD102" s="139"/>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row>
    <row r="103" spans="1:59" ht="36" customHeight="1">
      <c r="A103" s="320">
        <v>41</v>
      </c>
      <c r="B103" s="321" t="s">
        <v>1532</v>
      </c>
      <c r="C103" s="344" t="s">
        <v>1533</v>
      </c>
      <c r="D103" s="323" t="s">
        <v>1534</v>
      </c>
      <c r="E103" s="324">
        <f>TEChuilelégère</f>
        <v>0.047</v>
      </c>
      <c r="F103" s="325"/>
      <c r="G103" s="326" t="s">
        <v>1535</v>
      </c>
      <c r="H103" s="327" t="s">
        <v>1536</v>
      </c>
      <c r="I103" s="328">
        <f>VFARS</f>
        <v>27.49</v>
      </c>
      <c r="J103" s="329" t="s">
        <v>1537</v>
      </c>
      <c r="K103" s="330">
        <f>ROUND(I103*TEChuilelégère,2)</f>
        <v>1.29</v>
      </c>
      <c r="L103" s="331"/>
      <c r="M103" s="332">
        <f>TIARS</f>
        <v>63.96</v>
      </c>
      <c r="N103" s="333" t="s">
        <v>1538</v>
      </c>
      <c r="O103" s="334" t="str">
        <f>P</f>
        <v>. . .</v>
      </c>
      <c r="P103" s="328" t="str">
        <f>"(18)"</f>
        <v>(18)</v>
      </c>
      <c r="Q103" s="335">
        <f>TVAARSMETRO</f>
        <v>18.177039999999998</v>
      </c>
      <c r="R103" s="336">
        <f>TVAARSCORSE</f>
        <v>11.9262</v>
      </c>
      <c r="S103" s="41"/>
      <c r="T103" s="358">
        <v>5737</v>
      </c>
      <c r="U103" s="359"/>
      <c r="V103" s="360">
        <v>5727</v>
      </c>
      <c r="W103" s="361">
        <v>5923</v>
      </c>
      <c r="X103" s="361"/>
      <c r="Y103" s="362">
        <v>5720</v>
      </c>
      <c r="Z103" s="362">
        <v>9109</v>
      </c>
      <c r="AA103" s="362">
        <v>9301</v>
      </c>
      <c r="AD103" s="139"/>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row>
    <row r="104" spans="1:59" ht="12.75">
      <c r="A104" s="234"/>
      <c r="B104" s="235"/>
      <c r="C104" s="192"/>
      <c r="D104" s="236"/>
      <c r="E104" s="237"/>
      <c r="F104" s="238"/>
      <c r="G104" s="239"/>
      <c r="H104" s="240"/>
      <c r="I104" s="269"/>
      <c r="J104" s="241"/>
      <c r="K104" s="356"/>
      <c r="L104" s="242"/>
      <c r="M104" s="243"/>
      <c r="N104" s="244"/>
      <c r="O104" s="245"/>
      <c r="P104" s="269"/>
      <c r="Q104" s="246"/>
      <c r="R104" s="357"/>
      <c r="S104" s="166"/>
      <c r="T104" s="358"/>
      <c r="U104" s="359"/>
      <c r="V104" s="360"/>
      <c r="W104" s="363"/>
      <c r="X104" s="363"/>
      <c r="Y104" s="364"/>
      <c r="Z104" s="362"/>
      <c r="AA104" s="362"/>
      <c r="AB104" s="29"/>
      <c r="AC104" s="30"/>
      <c r="AD104" s="139"/>
      <c r="AE104" s="41"/>
      <c r="AF104" s="41"/>
      <c r="AG104" s="41"/>
      <c r="AH104" s="41"/>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41"/>
    </row>
    <row r="105" spans="1:59" ht="12.75">
      <c r="A105" s="42">
        <v>42</v>
      </c>
      <c r="B105" s="23" t="s">
        <v>1539</v>
      </c>
      <c r="C105" s="189" t="s">
        <v>1540</v>
      </c>
      <c r="D105" s="44" t="s">
        <v>1541</v>
      </c>
      <c r="E105" s="98">
        <f>TEChuilelégère</f>
        <v>0.047</v>
      </c>
      <c r="F105" s="133"/>
      <c r="G105" s="100" t="s">
        <v>1542</v>
      </c>
      <c r="H105" s="101" t="s">
        <v>1543</v>
      </c>
      <c r="I105" s="92">
        <f>VFARS</f>
        <v>27.49</v>
      </c>
      <c r="J105" s="44" t="s">
        <v>1544</v>
      </c>
      <c r="K105" s="223">
        <f>ROUND(I105*TEChuilelégère,2)</f>
        <v>1.29</v>
      </c>
      <c r="L105" s="134"/>
      <c r="M105" s="152">
        <f>TISP</f>
        <v>58.92</v>
      </c>
      <c r="N105" s="153" t="s">
        <v>1545</v>
      </c>
      <c r="O105" s="154" t="str">
        <f>P</f>
        <v>. . .</v>
      </c>
      <c r="P105" s="92" t="str">
        <f>"(18)"</f>
        <v>(18)</v>
      </c>
      <c r="Q105" s="155">
        <f>SUM(I105:P105)*19.6%</f>
        <v>17.1892</v>
      </c>
      <c r="R105" s="156">
        <f>(SUM(I105:P105)-1)*13%</f>
        <v>11.271</v>
      </c>
      <c r="S105" s="166"/>
      <c r="T105" s="358">
        <v>5735</v>
      </c>
      <c r="U105" s="359"/>
      <c r="V105" s="360">
        <v>5727</v>
      </c>
      <c r="W105" s="361">
        <v>5960</v>
      </c>
      <c r="X105" s="361"/>
      <c r="Y105" s="362">
        <v>9301</v>
      </c>
      <c r="Z105" s="365">
        <v>5720</v>
      </c>
      <c r="AA105" s="362"/>
      <c r="AB105" s="29"/>
      <c r="AC105" s="30"/>
      <c r="AD105" s="139"/>
      <c r="AE105" s="41"/>
      <c r="AF105" s="41"/>
      <c r="AG105" s="41"/>
      <c r="AH105" s="41"/>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41"/>
    </row>
    <row r="106" spans="1:59" ht="12.75">
      <c r="A106" s="42">
        <v>43</v>
      </c>
      <c r="B106" s="23" t="s">
        <v>1546</v>
      </c>
      <c r="C106" s="189" t="s">
        <v>1547</v>
      </c>
      <c r="D106" s="44" t="s">
        <v>1548</v>
      </c>
      <c r="E106" s="98">
        <f>TEChuilelégère</f>
        <v>0.047</v>
      </c>
      <c r="F106" s="133"/>
      <c r="G106" s="100" t="s">
        <v>1549</v>
      </c>
      <c r="H106" s="101" t="s">
        <v>1550</v>
      </c>
      <c r="I106" s="92" t="str">
        <f>R</f>
        <v>Réelle</v>
      </c>
      <c r="J106" s="44" t="s">
        <v>1551</v>
      </c>
      <c r="K106" s="352">
        <f>TEChuilelégère</f>
        <v>0.047</v>
      </c>
      <c r="L106" s="134"/>
      <c r="M106" s="152" t="str">
        <f>"(9)"</f>
        <v>(9)</v>
      </c>
      <c r="N106" s="153"/>
      <c r="O106" s="154" t="str">
        <f>P</f>
        <v>. . .</v>
      </c>
      <c r="P106" s="92" t="str">
        <f>P</f>
        <v>. . .</v>
      </c>
      <c r="Q106" s="92" t="str">
        <f>VI</f>
        <v>(25)</v>
      </c>
      <c r="R106" s="171" t="str">
        <f>VI</f>
        <v>(25)</v>
      </c>
      <c r="S106" s="295"/>
      <c r="T106" s="358">
        <v>5717</v>
      </c>
      <c r="U106" s="359"/>
      <c r="W106" s="363" t="str">
        <f>t</f>
        <v>TVO</v>
      </c>
      <c r="X106" s="363"/>
      <c r="Y106" s="362">
        <v>4004</v>
      </c>
      <c r="Z106" s="362">
        <v>9301</v>
      </c>
      <c r="AA106" s="362">
        <v>4006</v>
      </c>
      <c r="AB106" s="227"/>
      <c r="AC106" s="30"/>
      <c r="AD106" s="139"/>
      <c r="AE106" s="41"/>
      <c r="AF106" s="41"/>
      <c r="AG106" s="41"/>
      <c r="AH106" s="41"/>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41"/>
    </row>
    <row r="107" spans="1:59" ht="12.75">
      <c r="A107" s="366"/>
      <c r="B107" s="367"/>
      <c r="C107" s="368"/>
      <c r="D107" s="369"/>
      <c r="E107" s="370"/>
      <c r="F107" s="367"/>
      <c r="G107" s="371"/>
      <c r="H107" s="372"/>
      <c r="I107" s="373"/>
      <c r="J107" s="374"/>
      <c r="K107" s="375"/>
      <c r="L107" s="376"/>
      <c r="M107" s="377"/>
      <c r="N107" s="378"/>
      <c r="O107" s="379"/>
      <c r="P107" s="380"/>
      <c r="Q107" s="381"/>
      <c r="R107" s="382"/>
      <c r="S107" s="295"/>
      <c r="T107" s="157"/>
      <c r="U107" s="158"/>
      <c r="V107" s="159"/>
      <c r="W107" s="160"/>
      <c r="X107" s="160"/>
      <c r="Y107" s="161"/>
      <c r="Z107" s="161"/>
      <c r="AA107" s="362"/>
      <c r="AB107" s="29"/>
      <c r="AC107" s="30"/>
      <c r="AD107" s="139"/>
      <c r="AE107" s="41"/>
      <c r="AF107" s="41"/>
      <c r="AG107" s="41"/>
      <c r="AH107" s="41"/>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41"/>
    </row>
    <row r="108" spans="1:59" ht="12.75">
      <c r="A108" s="42"/>
      <c r="B108" s="23"/>
      <c r="C108" s="91" t="s">
        <v>1552</v>
      </c>
      <c r="D108" s="45"/>
      <c r="E108" s="98"/>
      <c r="F108" s="133"/>
      <c r="G108" s="100"/>
      <c r="H108" s="101"/>
      <c r="I108" s="92"/>
      <c r="J108" s="44"/>
      <c r="K108" s="223"/>
      <c r="L108" s="134"/>
      <c r="M108" s="152"/>
      <c r="N108" s="153"/>
      <c r="O108" s="154"/>
      <c r="P108" s="155"/>
      <c r="Q108" s="155"/>
      <c r="R108" s="156"/>
      <c r="S108" s="295"/>
      <c r="T108" s="157"/>
      <c r="U108" s="158"/>
      <c r="V108" s="159"/>
      <c r="W108" s="160"/>
      <c r="X108" s="160"/>
      <c r="Y108" s="161"/>
      <c r="Z108" s="161"/>
      <c r="AA108" s="362"/>
      <c r="AB108" s="29"/>
      <c r="AC108" s="30"/>
      <c r="AD108" s="139"/>
      <c r="AE108" s="41"/>
      <c r="AF108" s="41"/>
      <c r="AG108" s="41"/>
      <c r="AH108" s="41"/>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41"/>
    </row>
    <row r="109" spans="1:59" ht="12.75">
      <c r="A109" s="42">
        <v>44</v>
      </c>
      <c r="B109" s="23" t="s">
        <v>1553</v>
      </c>
      <c r="C109" s="91" t="s">
        <v>1554</v>
      </c>
      <c r="D109" s="44" t="s">
        <v>1555</v>
      </c>
      <c r="E109" s="98">
        <f>TEChuilelégère</f>
        <v>0.047</v>
      </c>
      <c r="F109" s="133"/>
      <c r="G109" s="100" t="s">
        <v>1556</v>
      </c>
      <c r="H109" s="101" t="s">
        <v>1557</v>
      </c>
      <c r="I109" s="92" t="str">
        <f>R</f>
        <v>Réelle</v>
      </c>
      <c r="J109" s="44" t="s">
        <v>1558</v>
      </c>
      <c r="K109" s="352">
        <f>TEChuilelégère</f>
        <v>0.047</v>
      </c>
      <c r="L109" s="134"/>
      <c r="M109" s="152" t="str">
        <f>"(9)"</f>
        <v>(9)</v>
      </c>
      <c r="N109" s="153"/>
      <c r="O109" s="154" t="str">
        <f>P</f>
        <v>. . .</v>
      </c>
      <c r="P109" s="92" t="str">
        <f>P</f>
        <v>. . .</v>
      </c>
      <c r="Q109" s="92" t="str">
        <f>VI</f>
        <v>(25)</v>
      </c>
      <c r="R109" s="171" t="str">
        <f>VI</f>
        <v>(25)</v>
      </c>
      <c r="S109" s="295"/>
      <c r="T109" s="358">
        <v>5717</v>
      </c>
      <c r="U109" s="359"/>
      <c r="V109" s="383"/>
      <c r="W109" s="363" t="str">
        <f>t</f>
        <v>TVO</v>
      </c>
      <c r="X109" s="363"/>
      <c r="Y109" s="362">
        <v>4004</v>
      </c>
      <c r="Z109" s="161">
        <v>4006</v>
      </c>
      <c r="AA109" s="362">
        <v>9301</v>
      </c>
      <c r="AB109" s="29"/>
      <c r="AC109" s="30"/>
      <c r="AD109" s="139"/>
      <c r="AE109" s="41"/>
      <c r="AF109" s="41"/>
      <c r="AG109" s="41"/>
      <c r="AH109" s="41"/>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41"/>
    </row>
    <row r="110" spans="1:59" ht="12.75">
      <c r="A110" s="42">
        <v>45</v>
      </c>
      <c r="B110" s="23" t="s">
        <v>1559</v>
      </c>
      <c r="C110" s="91" t="s">
        <v>1560</v>
      </c>
      <c r="D110" s="44" t="s">
        <v>1561</v>
      </c>
      <c r="E110" s="98">
        <f>TEChuilelégère</f>
        <v>0.047</v>
      </c>
      <c r="F110" s="133"/>
      <c r="G110" s="100" t="s">
        <v>1562</v>
      </c>
      <c r="H110" s="101" t="s">
        <v>1563</v>
      </c>
      <c r="I110" s="92" t="str">
        <f>R</f>
        <v>Réelle</v>
      </c>
      <c r="J110" s="44" t="s">
        <v>1564</v>
      </c>
      <c r="K110" s="352">
        <f>TEChuilelégère</f>
        <v>0.047</v>
      </c>
      <c r="L110" s="134"/>
      <c r="M110" s="152" t="str">
        <f>"(9)"</f>
        <v>(9)</v>
      </c>
      <c r="N110" s="153"/>
      <c r="O110" s="154" t="str">
        <f>P</f>
        <v>. . .</v>
      </c>
      <c r="P110" s="92" t="str">
        <f>P</f>
        <v>. . .</v>
      </c>
      <c r="Q110" s="92" t="str">
        <f>VI</f>
        <v>(25)</v>
      </c>
      <c r="R110" s="171" t="str">
        <f>VI</f>
        <v>(25)</v>
      </c>
      <c r="S110" s="295"/>
      <c r="T110" s="358">
        <v>5717</v>
      </c>
      <c r="U110" s="359"/>
      <c r="W110" s="363" t="str">
        <f>t</f>
        <v>TVO</v>
      </c>
      <c r="X110" s="363"/>
      <c r="Y110" s="362">
        <v>4004</v>
      </c>
      <c r="Z110" s="161">
        <v>4006</v>
      </c>
      <c r="AA110" s="161">
        <v>9301</v>
      </c>
      <c r="AB110" s="29"/>
      <c r="AC110" s="30"/>
      <c r="AD110" s="139"/>
      <c r="AE110" s="41"/>
      <c r="AF110" s="41"/>
      <c r="AG110" s="41"/>
      <c r="AH110" s="41"/>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41"/>
    </row>
    <row r="111" spans="1:59" ht="12.75">
      <c r="A111" s="42"/>
      <c r="B111" s="23"/>
      <c r="C111" s="91"/>
      <c r="D111" s="45"/>
      <c r="E111" s="98"/>
      <c r="F111" s="133"/>
      <c r="G111" s="100"/>
      <c r="H111" s="101"/>
      <c r="I111" s="92"/>
      <c r="J111" s="44"/>
      <c r="K111" s="223"/>
      <c r="L111" s="134"/>
      <c r="M111" s="152"/>
      <c r="N111" s="153"/>
      <c r="O111" s="154"/>
      <c r="P111" s="92"/>
      <c r="Q111" s="155"/>
      <c r="R111" s="156"/>
      <c r="S111" s="166"/>
      <c r="T111" s="157"/>
      <c r="U111" s="158"/>
      <c r="V111" s="159"/>
      <c r="W111" s="160"/>
      <c r="X111" s="160"/>
      <c r="Y111" s="161"/>
      <c r="Z111" s="161"/>
      <c r="AA111" s="161"/>
      <c r="AB111" s="29"/>
      <c r="AC111" s="30"/>
      <c r="AD111" s="43"/>
      <c r="AE111" s="23"/>
      <c r="AF111" s="23"/>
      <c r="AG111" s="23"/>
      <c r="AH111" s="229"/>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41"/>
    </row>
    <row r="112" spans="1:59" ht="12.75">
      <c r="A112" s="42"/>
      <c r="B112" s="23"/>
      <c r="C112" s="91" t="s">
        <v>1565</v>
      </c>
      <c r="D112" s="45"/>
      <c r="E112" s="98"/>
      <c r="F112" s="133"/>
      <c r="G112" s="100"/>
      <c r="H112" s="101"/>
      <c r="I112" s="92"/>
      <c r="J112" s="44"/>
      <c r="K112" s="223"/>
      <c r="L112" s="134"/>
      <c r="M112" s="152"/>
      <c r="N112" s="153"/>
      <c r="O112" s="154"/>
      <c r="P112" s="155"/>
      <c r="Q112" s="155"/>
      <c r="R112" s="156"/>
      <c r="S112" s="166"/>
      <c r="T112" s="157"/>
      <c r="U112" s="158"/>
      <c r="V112" s="159"/>
      <c r="W112" s="160"/>
      <c r="X112" s="160"/>
      <c r="Y112" s="161"/>
      <c r="Z112" s="161"/>
      <c r="AA112" s="384"/>
      <c r="AB112" s="385"/>
      <c r="AC112" s="30"/>
      <c r="AD112" s="43"/>
      <c r="AE112" s="23"/>
      <c r="AF112" s="23"/>
      <c r="AG112" s="23"/>
      <c r="AH112" s="229"/>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41"/>
    </row>
    <row r="113" spans="1:59" ht="12.75">
      <c r="A113" s="42">
        <v>46</v>
      </c>
      <c r="B113" s="23" t="s">
        <v>1566</v>
      </c>
      <c r="C113" s="91" t="s">
        <v>1567</v>
      </c>
      <c r="D113" s="45" t="s">
        <v>1568</v>
      </c>
      <c r="E113" s="98"/>
      <c r="F113" s="133"/>
      <c r="G113" s="100"/>
      <c r="H113" s="101"/>
      <c r="I113" s="44"/>
      <c r="J113" s="44"/>
      <c r="K113" s="134"/>
      <c r="L113" s="134"/>
      <c r="M113" s="152"/>
      <c r="N113" s="153"/>
      <c r="O113" s="154"/>
      <c r="P113" s="155"/>
      <c r="Q113" s="137"/>
      <c r="R113" s="138"/>
      <c r="S113" s="386"/>
      <c r="T113" s="157"/>
      <c r="U113" s="158"/>
      <c r="V113" s="159"/>
      <c r="W113" s="160"/>
      <c r="X113" s="160"/>
      <c r="Y113" s="161"/>
      <c r="Z113" s="161"/>
      <c r="AA113" s="161"/>
      <c r="AB113" s="29"/>
      <c r="AC113" s="30"/>
      <c r="AD113" s="387"/>
      <c r="AE113" s="388"/>
      <c r="AF113" s="388"/>
      <c r="AG113" s="388"/>
      <c r="AH113" s="388"/>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8"/>
    </row>
    <row r="114" spans="1:59" ht="12.75">
      <c r="A114" s="42"/>
      <c r="B114" s="23"/>
      <c r="C114" s="91" t="s">
        <v>1569</v>
      </c>
      <c r="D114" s="45"/>
      <c r="E114" s="98"/>
      <c r="F114" s="133"/>
      <c r="G114" s="100"/>
      <c r="H114" s="101"/>
      <c r="I114" s="92"/>
      <c r="J114" s="44"/>
      <c r="K114" s="223"/>
      <c r="L114" s="134"/>
      <c r="M114" s="273"/>
      <c r="N114" s="153"/>
      <c r="O114" s="154"/>
      <c r="P114" s="92"/>
      <c r="Q114" s="137"/>
      <c r="R114" s="138"/>
      <c r="S114" s="166"/>
      <c r="T114" s="157"/>
      <c r="U114" s="158"/>
      <c r="V114" s="159"/>
      <c r="W114" s="160"/>
      <c r="X114" s="160"/>
      <c r="Y114" s="161"/>
      <c r="Z114" s="161"/>
      <c r="AA114" s="161"/>
      <c r="AB114" s="29"/>
      <c r="AC114" s="30"/>
      <c r="AD114" s="390"/>
      <c r="AE114" s="391"/>
      <c r="AF114" s="391"/>
      <c r="AG114" s="391"/>
      <c r="AH114" s="391"/>
      <c r="AI114" s="392"/>
      <c r="AJ114" s="392"/>
      <c r="AK114" s="392"/>
      <c r="AL114" s="392"/>
      <c r="AM114" s="392"/>
      <c r="AN114" s="392"/>
      <c r="AO114" s="392"/>
      <c r="AP114" s="392"/>
      <c r="AQ114" s="392"/>
      <c r="AR114" s="392"/>
      <c r="AS114" s="392"/>
      <c r="AT114" s="392"/>
      <c r="AU114" s="392"/>
      <c r="AV114" s="392"/>
      <c r="AW114" s="392"/>
      <c r="AX114" s="392"/>
      <c r="AY114" s="392"/>
      <c r="AZ114" s="392"/>
      <c r="BA114" s="392"/>
      <c r="BB114" s="392"/>
      <c r="BC114" s="392"/>
      <c r="BD114" s="392"/>
      <c r="BE114" s="392"/>
      <c r="BF114" s="392"/>
      <c r="BG114" s="391"/>
    </row>
    <row r="115" spans="1:59" ht="12.75">
      <c r="A115" s="42"/>
      <c r="B115" s="23"/>
      <c r="C115" s="91" t="s">
        <v>1570</v>
      </c>
      <c r="D115" s="44" t="s">
        <v>1571</v>
      </c>
      <c r="E115" s="98">
        <f>TEChuilelégère</f>
        <v>0.047</v>
      </c>
      <c r="F115" s="133"/>
      <c r="G115" s="100" t="s">
        <v>1572</v>
      </c>
      <c r="H115" s="101" t="s">
        <v>1573</v>
      </c>
      <c r="I115" s="92">
        <f>VFCB</f>
        <v>26.71</v>
      </c>
      <c r="J115" s="44" t="s">
        <v>1574</v>
      </c>
      <c r="K115" s="223">
        <f>ROUND(I115*TEChuilelégère,2)</f>
        <v>1.26</v>
      </c>
      <c r="L115" s="134"/>
      <c r="M115" s="273" t="s">
        <v>1575</v>
      </c>
      <c r="N115" s="153"/>
      <c r="O115" s="154" t="str">
        <f>P</f>
        <v>. . .</v>
      </c>
      <c r="P115" s="92" t="str">
        <f>"(18)"</f>
        <v>(18)</v>
      </c>
      <c r="Q115" s="137">
        <f>TVACARBUAERONEFmetro</f>
        <v>5.2351600000000005</v>
      </c>
      <c r="R115" s="393">
        <f>TVACARBUAERONEFcorse</f>
        <v>3.4723</v>
      </c>
      <c r="S115" s="166"/>
      <c r="T115" s="24"/>
      <c r="U115" s="25"/>
      <c r="V115" s="9">
        <v>5729</v>
      </c>
      <c r="W115" s="195">
        <v>5901</v>
      </c>
      <c r="X115" s="195"/>
      <c r="Y115" s="28">
        <v>9050</v>
      </c>
      <c r="Z115" s="28">
        <v>9306</v>
      </c>
      <c r="AA115" s="161">
        <v>9301</v>
      </c>
      <c r="AB115" s="29"/>
      <c r="AC115" s="30"/>
      <c r="AD115" s="390"/>
      <c r="AE115" s="391"/>
      <c r="AF115" s="391"/>
      <c r="AG115" s="391"/>
      <c r="AH115" s="391"/>
      <c r="AI115" s="392"/>
      <c r="AJ115" s="392"/>
      <c r="AK115" s="392"/>
      <c r="AL115" s="392"/>
      <c r="AM115" s="392"/>
      <c r="AN115" s="392"/>
      <c r="AO115" s="392"/>
      <c r="AP115" s="392"/>
      <c r="AQ115" s="392"/>
      <c r="AR115" s="392"/>
      <c r="AS115" s="392"/>
      <c r="AT115" s="392"/>
      <c r="AU115" s="392"/>
      <c r="AV115" s="392"/>
      <c r="AW115" s="392"/>
      <c r="AX115" s="392"/>
      <c r="AY115" s="392"/>
      <c r="AZ115" s="392"/>
      <c r="BA115" s="392"/>
      <c r="BB115" s="392"/>
      <c r="BC115" s="392"/>
      <c r="BD115" s="392"/>
      <c r="BE115" s="392"/>
      <c r="BF115" s="392"/>
      <c r="BG115" s="391"/>
    </row>
    <row r="116" spans="1:59" ht="12.75">
      <c r="A116" s="42">
        <v>47</v>
      </c>
      <c r="B116" s="23" t="s">
        <v>1576</v>
      </c>
      <c r="C116" s="91" t="s">
        <v>1577</v>
      </c>
      <c r="D116" s="44" t="s">
        <v>1578</v>
      </c>
      <c r="E116" s="98">
        <f>TEChuilelégère</f>
        <v>0.047</v>
      </c>
      <c r="F116" s="133"/>
      <c r="G116" s="100" t="s">
        <v>1579</v>
      </c>
      <c r="H116" s="101" t="s">
        <v>1580</v>
      </c>
      <c r="I116" s="92">
        <f>VFCB</f>
        <v>26.71</v>
      </c>
      <c r="J116" s="44" t="s">
        <v>1581</v>
      </c>
      <c r="K116" s="223">
        <f>ROUND(I116*TEChuilelégère,2)</f>
        <v>1.26</v>
      </c>
      <c r="L116" s="134"/>
      <c r="M116" s="152">
        <f>TICBSCE</f>
        <v>2.54</v>
      </c>
      <c r="N116" s="153"/>
      <c r="O116" s="154" t="str">
        <f>P</f>
        <v>. . .</v>
      </c>
      <c r="P116" s="92" t="str">
        <f>"(18)"</f>
        <v>(18)</v>
      </c>
      <c r="Q116" s="137">
        <f>SUM(I116:P116)*19.6%</f>
        <v>5.97996</v>
      </c>
      <c r="R116" s="138">
        <f>SUM(I116:P116)*13%</f>
        <v>3.9663000000000004</v>
      </c>
      <c r="S116" s="166"/>
      <c r="T116" s="24">
        <v>5707</v>
      </c>
      <c r="U116" s="25"/>
      <c r="V116" s="26">
        <v>5729</v>
      </c>
      <c r="W116" s="195">
        <v>5919</v>
      </c>
      <c r="X116" s="195"/>
      <c r="Y116" s="28">
        <v>9055</v>
      </c>
      <c r="Z116" s="28">
        <v>9301</v>
      </c>
      <c r="AA116" s="161"/>
      <c r="AB116" s="29"/>
      <c r="AC116" s="30"/>
      <c r="AD116" s="139"/>
      <c r="AE116" s="41"/>
      <c r="AF116" s="41"/>
      <c r="AG116" s="41"/>
      <c r="AH116" s="41"/>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41"/>
    </row>
    <row r="117" spans="1:59" ht="12.75">
      <c r="A117" s="42">
        <v>48</v>
      </c>
      <c r="B117" s="23" t="s">
        <v>1582</v>
      </c>
      <c r="C117" s="91" t="s">
        <v>1583</v>
      </c>
      <c r="D117" s="44" t="s">
        <v>1584</v>
      </c>
      <c r="E117" s="98">
        <f>TEChuilelégère</f>
        <v>0.047</v>
      </c>
      <c r="F117" s="133"/>
      <c r="G117" s="100" t="s">
        <v>1585</v>
      </c>
      <c r="H117" s="101" t="s">
        <v>1586</v>
      </c>
      <c r="I117" s="92">
        <f>VFCB</f>
        <v>26.71</v>
      </c>
      <c r="J117" s="44" t="s">
        <v>1587</v>
      </c>
      <c r="K117" s="223">
        <f>ROUND(I117*TEChuilelégère,2)</f>
        <v>1.26</v>
      </c>
      <c r="L117" s="134"/>
      <c r="M117" s="273" t="s">
        <v>1588</v>
      </c>
      <c r="N117" s="153"/>
      <c r="O117" s="154" t="str">
        <f>P</f>
        <v>. . .</v>
      </c>
      <c r="P117" s="92" t="str">
        <f>P</f>
        <v>. . .</v>
      </c>
      <c r="Q117" s="137">
        <f>SUM(I117:P117)*19.6%</f>
        <v>5.482120000000001</v>
      </c>
      <c r="R117" s="138">
        <f>SUM(I117:P117)*13%</f>
        <v>3.6361000000000003</v>
      </c>
      <c r="S117" s="166"/>
      <c r="W117" s="195">
        <v>5946</v>
      </c>
      <c r="X117" s="195"/>
      <c r="Y117" s="28">
        <v>4012</v>
      </c>
      <c r="Z117" s="28">
        <v>9301</v>
      </c>
      <c r="AA117" s="161"/>
      <c r="AB117" s="29"/>
      <c r="AC117" s="30"/>
      <c r="AD117" s="139"/>
      <c r="AE117" s="41"/>
      <c r="AF117" s="41"/>
      <c r="AG117" s="41"/>
      <c r="AH117" s="41"/>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41"/>
    </row>
    <row r="118" spans="1:59" ht="12.75">
      <c r="A118" s="197">
        <v>49</v>
      </c>
      <c r="B118" s="198" t="s">
        <v>1589</v>
      </c>
      <c r="C118" s="288" t="s">
        <v>1590</v>
      </c>
      <c r="D118" s="205" t="s">
        <v>1591</v>
      </c>
      <c r="E118" s="201">
        <f>TEChuilelégère</f>
        <v>0.047</v>
      </c>
      <c r="F118" s="202"/>
      <c r="G118" s="203" t="s">
        <v>1592</v>
      </c>
      <c r="H118" s="204" t="s">
        <v>1593</v>
      </c>
      <c r="I118" s="210">
        <f>VFCB</f>
        <v>26.71</v>
      </c>
      <c r="J118" s="205" t="s">
        <v>1594</v>
      </c>
      <c r="K118" s="394">
        <f>ROUND(I118*TEChuilelégère,2)</f>
        <v>1.26</v>
      </c>
      <c r="L118" s="206"/>
      <c r="M118" s="207">
        <f>TISP</f>
        <v>58.92</v>
      </c>
      <c r="N118" s="208"/>
      <c r="O118" s="209" t="str">
        <f>P</f>
        <v>. . .</v>
      </c>
      <c r="P118" s="210" t="str">
        <f>"(18)"</f>
        <v>(18)</v>
      </c>
      <c r="Q118" s="155">
        <f>SUM(I118:P118)*19.6%</f>
        <v>17.030440000000002</v>
      </c>
      <c r="R118" s="395">
        <f>(SUM(I118:P118))*13%</f>
        <v>11.2957</v>
      </c>
      <c r="S118" s="166"/>
      <c r="T118" s="24">
        <v>5716</v>
      </c>
      <c r="U118" s="25"/>
      <c r="V118" s="26">
        <v>5729</v>
      </c>
      <c r="W118" s="195">
        <v>5905</v>
      </c>
      <c r="X118" s="195"/>
      <c r="Y118" s="28">
        <v>9306</v>
      </c>
      <c r="Z118" s="28">
        <v>9301</v>
      </c>
      <c r="AA118" s="28"/>
      <c r="AB118" s="29"/>
      <c r="AC118" s="30"/>
      <c r="AD118" s="139"/>
      <c r="AE118" s="41"/>
      <c r="AF118" s="41"/>
      <c r="AG118" s="41"/>
      <c r="AH118" s="41"/>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41"/>
    </row>
    <row r="119" spans="1:92" s="293" customFormat="1" ht="12.75">
      <c r="A119" s="118"/>
      <c r="B119" s="235"/>
      <c r="C119" s="290" t="s">
        <v>1595</v>
      </c>
      <c r="D119" s="291">
        <f>TISP-1</f>
        <v>57.92</v>
      </c>
      <c r="E119" s="292" t="s">
        <v>1596</v>
      </c>
      <c r="F119" s="238"/>
      <c r="G119" s="240"/>
      <c r="H119" s="240"/>
      <c r="K119" s="294" t="s">
        <v>1597</v>
      </c>
      <c r="L119" s="242"/>
      <c r="M119" s="295"/>
      <c r="N119" s="295"/>
      <c r="O119" s="245"/>
      <c r="P119" s="245"/>
      <c r="Q119" s="396">
        <f>TIARS-1</f>
        <v>62.96</v>
      </c>
      <c r="R119" s="297" t="s">
        <v>1598</v>
      </c>
      <c r="S119" s="23"/>
      <c r="T119" s="298"/>
      <c r="U119" s="299"/>
      <c r="V119" s="300"/>
      <c r="W119" s="301"/>
      <c r="X119" s="301"/>
      <c r="Y119" s="302"/>
      <c r="Z119" s="302"/>
      <c r="AA119" s="397"/>
      <c r="AB119" s="304"/>
      <c r="AC119" s="30"/>
      <c r="AD119" s="139"/>
      <c r="AE119" s="41"/>
      <c r="AF119" s="41"/>
      <c r="AG119" s="41"/>
      <c r="AH119" s="41"/>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41"/>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c r="CF119" s="250"/>
      <c r="CG119" s="250"/>
      <c r="CH119" s="250"/>
      <c r="CI119" s="250"/>
      <c r="CJ119" s="250"/>
      <c r="CK119" s="250"/>
      <c r="CL119" s="250"/>
      <c r="CM119" s="250"/>
      <c r="CN119" s="250"/>
    </row>
    <row r="120" spans="1:59" ht="12.75">
      <c r="A120" s="43"/>
      <c r="B120" s="23"/>
      <c r="C120" s="398" t="s">
        <v>1599</v>
      </c>
      <c r="D120" s="399"/>
      <c r="E120" s="400"/>
      <c r="F120" s="401"/>
      <c r="G120" s="402" t="s">
        <v>1600</v>
      </c>
      <c r="H120" s="403"/>
      <c r="I120" s="399"/>
      <c r="J120" s="399"/>
      <c r="K120" s="404"/>
      <c r="L120" s="405"/>
      <c r="M120" s="41"/>
      <c r="N120" s="406"/>
      <c r="O120" s="406"/>
      <c r="P120" s="6"/>
      <c r="Q120" s="407"/>
      <c r="R120" s="408"/>
      <c r="S120" s="409"/>
      <c r="T120" s="410"/>
      <c r="U120" s="411"/>
      <c r="V120" s="26"/>
      <c r="W120" s="27"/>
      <c r="X120" s="27"/>
      <c r="Y120" s="28"/>
      <c r="Z120" s="28"/>
      <c r="AA120" s="28"/>
      <c r="AB120" s="29"/>
      <c r="AC120" s="30"/>
      <c r="AD120" s="139"/>
      <c r="AE120" s="41"/>
      <c r="AF120" s="41"/>
      <c r="AG120" s="41"/>
      <c r="AH120" s="41"/>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41"/>
    </row>
    <row r="121" spans="1:59" ht="12.75">
      <c r="A121" s="212"/>
      <c r="B121" s="213"/>
      <c r="C121" s="412"/>
      <c r="D121" s="53"/>
      <c r="E121" s="216"/>
      <c r="F121" s="217"/>
      <c r="G121" s="69"/>
      <c r="H121" s="70"/>
      <c r="I121" s="53"/>
      <c r="J121" s="53"/>
      <c r="K121" s="218"/>
      <c r="L121" s="218"/>
      <c r="M121" s="219"/>
      <c r="N121" s="220"/>
      <c r="O121" s="221"/>
      <c r="P121" s="222"/>
      <c r="Q121" s="413"/>
      <c r="R121" s="414"/>
      <c r="S121" s="409"/>
      <c r="T121" s="24"/>
      <c r="U121" s="25"/>
      <c r="V121" s="26"/>
      <c r="W121" s="27"/>
      <c r="X121" s="27"/>
      <c r="Y121" s="28"/>
      <c r="Z121" s="28"/>
      <c r="AA121" s="28"/>
      <c r="AB121" s="29"/>
      <c r="AC121" s="267"/>
      <c r="AD121" s="139"/>
      <c r="AE121" s="41"/>
      <c r="AF121" s="41"/>
      <c r="AG121" s="41"/>
      <c r="AH121" s="41"/>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41"/>
    </row>
    <row r="122" spans="1:59" ht="12.75">
      <c r="A122" s="415"/>
      <c r="B122" s="23"/>
      <c r="C122" s="91" t="s">
        <v>1601</v>
      </c>
      <c r="D122" s="137"/>
      <c r="E122" s="98"/>
      <c r="F122" s="23"/>
      <c r="G122" s="416"/>
      <c r="H122" s="417"/>
      <c r="I122" s="44"/>
      <c r="J122" s="155"/>
      <c r="K122" s="418"/>
      <c r="L122" s="419"/>
      <c r="M122" s="152"/>
      <c r="N122" s="420"/>
      <c r="O122" s="154"/>
      <c r="P122" s="421"/>
      <c r="Q122" s="285"/>
      <c r="R122" s="286"/>
      <c r="S122" s="409"/>
      <c r="T122" s="24"/>
      <c r="U122" s="25"/>
      <c r="V122" s="26"/>
      <c r="W122" s="27"/>
      <c r="X122" s="27"/>
      <c r="Y122" s="28"/>
      <c r="Z122" s="28"/>
      <c r="AA122" s="362"/>
      <c r="AB122" s="227"/>
      <c r="AC122" s="29"/>
      <c r="AD122" s="139"/>
      <c r="AE122" s="41"/>
      <c r="AF122" s="41"/>
      <c r="AG122" s="41"/>
      <c r="AH122" s="41"/>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32"/>
      <c r="BD122" s="148"/>
      <c r="BE122" s="148"/>
      <c r="BF122" s="148"/>
      <c r="BG122" s="41"/>
    </row>
    <row r="123" spans="1:60" s="5" customFormat="1" ht="12.75">
      <c r="A123" s="42">
        <v>50</v>
      </c>
      <c r="B123" s="23" t="s">
        <v>1602</v>
      </c>
      <c r="C123" s="91" t="s">
        <v>1603</v>
      </c>
      <c r="D123" s="44" t="s">
        <v>1604</v>
      </c>
      <c r="E123" s="98">
        <f>TEChuilelégère</f>
        <v>0.047</v>
      </c>
      <c r="F123" s="133"/>
      <c r="G123" s="194" t="s">
        <v>1605</v>
      </c>
      <c r="H123" s="43" t="s">
        <v>1606</v>
      </c>
      <c r="I123" s="92">
        <f>vfspb</f>
        <v>27.49</v>
      </c>
      <c r="J123" s="44" t="s">
        <v>1607</v>
      </c>
      <c r="K123" s="166">
        <f>ROUND(I123*TEChuilelégère,2)</f>
        <v>1.29</v>
      </c>
      <c r="L123" s="133"/>
      <c r="M123" s="152">
        <f>TISP</f>
        <v>58.92</v>
      </c>
      <c r="N123" s="153"/>
      <c r="O123" s="154" t="str">
        <f>P</f>
        <v>. . .</v>
      </c>
      <c r="P123" s="92" t="str">
        <f>P</f>
        <v>. . .</v>
      </c>
      <c r="Q123" s="137">
        <f>SUM(I123:P123)*19.6%</f>
        <v>17.1892</v>
      </c>
      <c r="R123" s="156">
        <f>(SUM(I123:P123))*13%</f>
        <v>11.401000000000002</v>
      </c>
      <c r="S123" s="6"/>
      <c r="T123" s="24">
        <v>5734</v>
      </c>
      <c r="U123" s="25"/>
      <c r="V123" s="9"/>
      <c r="W123" s="195">
        <v>5966</v>
      </c>
      <c r="X123" s="195"/>
      <c r="Y123" s="28">
        <v>9348</v>
      </c>
      <c r="Z123" s="28">
        <v>9301</v>
      </c>
      <c r="AA123" s="28"/>
      <c r="AB123" s="319"/>
      <c r="AC123" s="30"/>
      <c r="AD123" s="30"/>
      <c r="AE123" s="43"/>
      <c r="AF123" s="23"/>
      <c r="AG123" s="23"/>
      <c r="AH123" s="23"/>
      <c r="AI123" s="229"/>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250"/>
    </row>
    <row r="124" spans="1:60" ht="12.75">
      <c r="A124" s="42">
        <v>51</v>
      </c>
      <c r="B124" s="23" t="s">
        <v>1608</v>
      </c>
      <c r="C124" s="91" t="s">
        <v>1609</v>
      </c>
      <c r="D124" s="44" t="s">
        <v>1610</v>
      </c>
      <c r="E124" s="98">
        <f>TEChuilelégère</f>
        <v>0.047</v>
      </c>
      <c r="F124" s="133"/>
      <c r="G124" s="100" t="s">
        <v>1611</v>
      </c>
      <c r="H124" s="101" t="s">
        <v>1612</v>
      </c>
      <c r="I124" s="92">
        <f>vfspb</f>
        <v>27.49</v>
      </c>
      <c r="J124" s="44" t="s">
        <v>1613</v>
      </c>
      <c r="K124" s="223">
        <f>ROUND(I124*TEChuilelégère,2)</f>
        <v>1.29</v>
      </c>
      <c r="L124" s="134"/>
      <c r="M124" s="422" t="s">
        <v>1614</v>
      </c>
      <c r="N124" s="153"/>
      <c r="O124" s="154" t="str">
        <f>P</f>
        <v>. . .</v>
      </c>
      <c r="P124" s="92" t="str">
        <f>P</f>
        <v>. . .</v>
      </c>
      <c r="Q124" s="137">
        <f>SUM(I124:P124)*19.6%</f>
        <v>5.64088</v>
      </c>
      <c r="R124" s="138">
        <f>SUM(I124:P124)*13%</f>
        <v>3.7413999999999996</v>
      </c>
      <c r="S124" s="318"/>
      <c r="W124" s="351">
        <v>5907</v>
      </c>
      <c r="X124" s="351"/>
      <c r="Y124" s="11">
        <v>4012</v>
      </c>
      <c r="Z124" s="11">
        <v>9301</v>
      </c>
      <c r="AA124" s="28"/>
      <c r="AB124" s="29"/>
      <c r="AC124" s="30"/>
      <c r="AD124" s="30"/>
      <c r="AE124" s="139"/>
      <c r="AF124" s="41"/>
      <c r="AG124" s="41"/>
      <c r="AH124" s="41"/>
      <c r="AI124" s="41"/>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41"/>
    </row>
    <row r="125" spans="1:59" ht="12.75">
      <c r="A125" s="234"/>
      <c r="B125" s="235"/>
      <c r="C125" s="423" t="s">
        <v>1615</v>
      </c>
      <c r="D125" s="241"/>
      <c r="E125" s="237"/>
      <c r="F125" s="238"/>
      <c r="G125" s="424"/>
      <c r="H125" s="425"/>
      <c r="I125" s="241"/>
      <c r="J125" s="241"/>
      <c r="K125" s="242"/>
      <c r="L125" s="242"/>
      <c r="M125" s="243"/>
      <c r="N125" s="244"/>
      <c r="O125" s="245"/>
      <c r="P125" s="246"/>
      <c r="Q125" s="247"/>
      <c r="R125" s="248"/>
      <c r="S125" s="409"/>
      <c r="T125" s="157"/>
      <c r="U125" s="158"/>
      <c r="V125" s="159"/>
      <c r="W125" s="160"/>
      <c r="X125" s="160"/>
      <c r="Y125" s="161"/>
      <c r="Z125" s="161"/>
      <c r="AA125" s="28"/>
      <c r="AB125" s="29"/>
      <c r="AC125" s="30"/>
      <c r="AD125" s="139"/>
      <c r="AE125" s="41"/>
      <c r="AF125" s="41"/>
      <c r="AG125" s="41"/>
      <c r="AH125" s="41"/>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41"/>
    </row>
    <row r="126" spans="1:59" ht="12.75">
      <c r="A126" s="42"/>
      <c r="B126" s="235"/>
      <c r="C126" s="426" t="str">
        <f>"- - - Huiles moyennes :"</f>
        <v>- - - Huiles moyennes :</v>
      </c>
      <c r="D126" s="241"/>
      <c r="E126" s="427"/>
      <c r="F126" s="238"/>
      <c r="G126" s="424"/>
      <c r="H126" s="425"/>
      <c r="I126" s="241"/>
      <c r="J126" s="241"/>
      <c r="K126" s="428"/>
      <c r="L126" s="242"/>
      <c r="M126" s="243"/>
      <c r="N126" s="244"/>
      <c r="O126" s="245"/>
      <c r="P126" s="246"/>
      <c r="Q126" s="247"/>
      <c r="R126" s="248"/>
      <c r="S126" s="409"/>
      <c r="T126" s="24"/>
      <c r="U126" s="25"/>
      <c r="V126" s="26"/>
      <c r="W126" s="27"/>
      <c r="X126" s="27"/>
      <c r="Y126" s="28"/>
      <c r="Z126" s="28"/>
      <c r="AA126" s="28"/>
      <c r="AB126" s="29"/>
      <c r="AC126" s="30"/>
      <c r="AD126" s="390"/>
      <c r="AE126" s="391"/>
      <c r="AF126" s="391"/>
      <c r="AG126" s="391"/>
      <c r="AH126" s="391"/>
      <c r="AI126" s="392"/>
      <c r="AJ126" s="392"/>
      <c r="AK126" s="392"/>
      <c r="AL126" s="392"/>
      <c r="AM126" s="392"/>
      <c r="AN126" s="392"/>
      <c r="AO126" s="392"/>
      <c r="AP126" s="392"/>
      <c r="AQ126" s="392"/>
      <c r="AR126" s="392"/>
      <c r="AS126" s="392"/>
      <c r="AT126" s="392"/>
      <c r="AU126" s="392"/>
      <c r="AV126" s="392"/>
      <c r="AW126" s="392"/>
      <c r="AX126" s="392"/>
      <c r="AY126" s="392"/>
      <c r="AZ126" s="392"/>
      <c r="BA126" s="392"/>
      <c r="BB126" s="392"/>
      <c r="BC126" s="392"/>
      <c r="BD126" s="392"/>
      <c r="BE126" s="392"/>
      <c r="BF126" s="392"/>
      <c r="BG126" s="391"/>
    </row>
    <row r="127" spans="1:59" ht="12.75">
      <c r="A127" s="42">
        <v>52</v>
      </c>
      <c r="B127" s="23" t="s">
        <v>1616</v>
      </c>
      <c r="C127" s="125" t="str">
        <f>"- - - - destinées à subir un traitement défini (3)(30)(32)................................................................................................."</f>
        <v>- - - - destinées à subir un traitement défini (3)(30)(32).................................................................................................</v>
      </c>
      <c r="D127" s="44" t="s">
        <v>1617</v>
      </c>
      <c r="E127" s="98" t="s">
        <v>1618</v>
      </c>
      <c r="F127" s="133"/>
      <c r="G127" s="429" t="s">
        <v>1619</v>
      </c>
      <c r="H127" s="101" t="s">
        <v>1620</v>
      </c>
      <c r="I127" s="44" t="str">
        <f>R</f>
        <v>Réelle</v>
      </c>
      <c r="J127" s="44" t="s">
        <v>1621</v>
      </c>
      <c r="K127" s="225" t="s">
        <v>1622</v>
      </c>
      <c r="L127" s="134"/>
      <c r="M127" s="152" t="str">
        <f>"(3)"</f>
        <v>(3)</v>
      </c>
      <c r="N127" s="153"/>
      <c r="O127" s="154" t="str">
        <f>P</f>
        <v>. . .</v>
      </c>
      <c r="P127" s="155" t="str">
        <f>"(3)"</f>
        <v>(3)</v>
      </c>
      <c r="Q127" s="92" t="str">
        <f>"(3)"</f>
        <v>(3)</v>
      </c>
      <c r="R127" s="171" t="str">
        <f>"(3)"</f>
        <v>(3)</v>
      </c>
      <c r="S127" s="23"/>
      <c r="W127" s="255" t="str">
        <f>t</f>
        <v>TVO</v>
      </c>
      <c r="X127" s="257">
        <v>5930</v>
      </c>
      <c r="Y127" s="256">
        <v>9052</v>
      </c>
      <c r="Z127" s="256">
        <v>9301</v>
      </c>
      <c r="AB127" s="29"/>
      <c r="AC127" s="30"/>
      <c r="AD127" s="139"/>
      <c r="AE127" s="41"/>
      <c r="AF127" s="41"/>
      <c r="AG127" s="41"/>
      <c r="AH127" s="41"/>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41"/>
    </row>
    <row r="128" spans="1:59" ht="12.75">
      <c r="A128" s="42">
        <v>53</v>
      </c>
      <c r="B128" s="23" t="s">
        <v>1623</v>
      </c>
      <c r="C128" s="125" t="str">
        <f>"- - - - destinées à subir une transformation chimique par un traitement autre  "</f>
        <v>- - - - destinées à subir une transformation chimique par un traitement autre  </v>
      </c>
      <c r="D128" s="44"/>
      <c r="E128" s="430"/>
      <c r="F128" s="133"/>
      <c r="G128" s="429"/>
      <c r="H128" s="431"/>
      <c r="I128" s="44"/>
      <c r="J128" s="44"/>
      <c r="K128" s="432"/>
      <c r="L128" s="134"/>
      <c r="M128" s="152"/>
      <c r="N128" s="153"/>
      <c r="O128" s="154"/>
      <c r="P128" s="92"/>
      <c r="Q128" s="92"/>
      <c r="R128" s="171"/>
      <c r="S128" s="41"/>
      <c r="T128" s="252"/>
      <c r="U128" s="253"/>
      <c r="V128" s="254"/>
      <c r="W128" s="255"/>
      <c r="X128" s="255"/>
      <c r="Y128" s="256"/>
      <c r="Z128" s="256"/>
      <c r="AA128" s="161"/>
      <c r="AB128" s="29"/>
      <c r="AC128" s="30"/>
      <c r="AD128" s="139"/>
      <c r="AE128" s="41"/>
      <c r="AF128" s="41"/>
      <c r="AG128" s="41"/>
      <c r="AH128" s="41"/>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41"/>
    </row>
    <row r="129" spans="1:59" ht="12.75">
      <c r="A129" s="42"/>
      <c r="B129" s="23"/>
      <c r="C129" s="125" t="s">
        <v>1624</v>
      </c>
      <c r="D129" s="44" t="s">
        <v>1625</v>
      </c>
      <c r="E129" s="98" t="s">
        <v>1626</v>
      </c>
      <c r="F129" s="133"/>
      <c r="G129" s="429" t="s">
        <v>1627</v>
      </c>
      <c r="H129" s="101" t="s">
        <v>1628</v>
      </c>
      <c r="I129" s="44" t="str">
        <f>R</f>
        <v>Réelle</v>
      </c>
      <c r="J129" s="44" t="s">
        <v>1629</v>
      </c>
      <c r="K129" s="225" t="s">
        <v>1630</v>
      </c>
      <c r="L129" s="134"/>
      <c r="M129" s="152" t="str">
        <f>"(3)"</f>
        <v>(3)</v>
      </c>
      <c r="N129" s="153"/>
      <c r="O129" s="154" t="str">
        <f>P</f>
        <v>. . .</v>
      </c>
      <c r="P129" s="155" t="str">
        <f>"(3)"</f>
        <v>(3)</v>
      </c>
      <c r="Q129" s="92" t="str">
        <f>"(3)"</f>
        <v>(3)</v>
      </c>
      <c r="R129" s="171" t="str">
        <f>"(3)"</f>
        <v>(3)</v>
      </c>
      <c r="S129" s="166"/>
      <c r="W129" s="255" t="str">
        <f>t</f>
        <v>TVO</v>
      </c>
      <c r="X129" s="257">
        <v>5930</v>
      </c>
      <c r="Y129" s="256">
        <v>9052</v>
      </c>
      <c r="Z129" s="58">
        <v>9301</v>
      </c>
      <c r="AA129" s="28"/>
      <c r="AB129" s="29"/>
      <c r="AC129" s="30"/>
      <c r="AD129" s="139"/>
      <c r="AE129" s="41"/>
      <c r="AF129" s="41"/>
      <c r="AG129" s="41"/>
      <c r="AH129" s="41"/>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41"/>
    </row>
    <row r="130" spans="1:59" ht="12.75">
      <c r="A130" s="42"/>
      <c r="B130" s="23"/>
      <c r="C130" s="132" t="s">
        <v>1631</v>
      </c>
      <c r="D130" s="44"/>
      <c r="E130" s="98"/>
      <c r="F130" s="133"/>
      <c r="G130" s="429"/>
      <c r="H130" s="431"/>
      <c r="I130" s="92"/>
      <c r="J130" s="44"/>
      <c r="K130" s="223"/>
      <c r="L130" s="134"/>
      <c r="M130" s="152"/>
      <c r="N130" s="153"/>
      <c r="O130" s="154"/>
      <c r="P130" s="155"/>
      <c r="Q130" s="155"/>
      <c r="R130" s="156"/>
      <c r="S130" s="409"/>
      <c r="T130" s="54"/>
      <c r="U130" s="55"/>
      <c r="V130" s="56"/>
      <c r="W130" s="57"/>
      <c r="X130" s="57"/>
      <c r="Y130" s="58"/>
      <c r="Z130" s="58"/>
      <c r="AA130" s="256"/>
      <c r="AB130" s="29"/>
      <c r="AC130" s="30"/>
      <c r="AD130" s="139"/>
      <c r="AE130" s="41"/>
      <c r="AF130" s="41"/>
      <c r="AG130" s="41"/>
      <c r="AH130" s="41"/>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41"/>
    </row>
    <row r="131" spans="1:59" ht="12.75">
      <c r="A131" s="42"/>
      <c r="B131" s="23"/>
      <c r="C131" s="132" t="s">
        <v>1632</v>
      </c>
      <c r="D131" s="44"/>
      <c r="E131" s="430"/>
      <c r="F131" s="133"/>
      <c r="G131" s="429"/>
      <c r="H131" s="431"/>
      <c r="I131" s="44"/>
      <c r="J131" s="44"/>
      <c r="K131" s="432"/>
      <c r="L131" s="134"/>
      <c r="M131" s="152"/>
      <c r="N131" s="153"/>
      <c r="O131" s="154"/>
      <c r="P131" s="155"/>
      <c r="Q131" s="137"/>
      <c r="R131" s="138"/>
      <c r="S131" s="235"/>
      <c r="T131" s="54"/>
      <c r="U131" s="55"/>
      <c r="V131" s="56"/>
      <c r="W131" s="57"/>
      <c r="X131" s="57"/>
      <c r="Y131" s="58"/>
      <c r="Z131" s="58"/>
      <c r="AA131" s="256"/>
      <c r="AB131" s="29"/>
      <c r="AC131" s="30"/>
      <c r="AD131" s="139"/>
      <c r="AE131" s="41"/>
      <c r="AF131" s="41"/>
      <c r="AG131" s="41"/>
      <c r="AH131" s="41"/>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41"/>
    </row>
    <row r="132" spans="1:59" ht="12.75">
      <c r="A132" s="42"/>
      <c r="B132" s="23"/>
      <c r="C132" s="132" t="s">
        <v>1633</v>
      </c>
      <c r="D132" s="44"/>
      <c r="E132" s="430"/>
      <c r="F132" s="133"/>
      <c r="G132" s="429"/>
      <c r="H132" s="431"/>
      <c r="I132" s="44"/>
      <c r="J132" s="44"/>
      <c r="K132" s="432"/>
      <c r="L132" s="134"/>
      <c r="M132" s="152"/>
      <c r="N132" s="153"/>
      <c r="O132" s="154"/>
      <c r="P132" s="155"/>
      <c r="Q132" s="137"/>
      <c r="R132" s="138"/>
      <c r="S132" s="235"/>
      <c r="T132" s="157"/>
      <c r="U132" s="158"/>
      <c r="V132" s="159"/>
      <c r="W132" s="160"/>
      <c r="X132" s="160"/>
      <c r="Y132" s="161"/>
      <c r="Z132" s="161"/>
      <c r="AA132" s="58"/>
      <c r="AB132" s="29"/>
      <c r="AC132" s="30"/>
      <c r="AD132" s="139"/>
      <c r="AE132" s="41"/>
      <c r="AF132" s="41"/>
      <c r="AG132" s="41"/>
      <c r="AH132" s="41"/>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41"/>
    </row>
    <row r="133" spans="1:59" ht="12.75">
      <c r="A133" s="42">
        <v>54</v>
      </c>
      <c r="B133" s="23" t="s">
        <v>1634</v>
      </c>
      <c r="C133" s="91" t="s">
        <v>1635</v>
      </c>
      <c r="D133" s="44"/>
      <c r="E133" s="430"/>
      <c r="F133" s="133"/>
      <c r="G133" s="429"/>
      <c r="H133" s="431"/>
      <c r="I133" s="44"/>
      <c r="J133" s="44"/>
      <c r="K133" s="432"/>
      <c r="L133" s="134"/>
      <c r="M133" s="152"/>
      <c r="N133" s="153"/>
      <c r="O133" s="154"/>
      <c r="P133" s="433"/>
      <c r="Q133" s="137"/>
      <c r="R133" s="138"/>
      <c r="S133" s="154"/>
      <c r="T133" s="24"/>
      <c r="U133" s="25"/>
      <c r="V133" s="26"/>
      <c r="W133" s="27"/>
      <c r="X133" s="27"/>
      <c r="Y133" s="28"/>
      <c r="Z133" s="28"/>
      <c r="AA133" s="58"/>
      <c r="AB133" s="29"/>
      <c r="AC133" s="30"/>
      <c r="AD133" s="139"/>
      <c r="AE133" s="41"/>
      <c r="AF133" s="41"/>
      <c r="AG133" s="41"/>
      <c r="AH133" s="41"/>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41"/>
    </row>
    <row r="134" spans="1:59" ht="12.75">
      <c r="A134" s="42"/>
      <c r="B134" s="23"/>
      <c r="C134" s="91" t="s">
        <v>1636</v>
      </c>
      <c r="D134" s="44"/>
      <c r="E134" s="98"/>
      <c r="F134" s="133"/>
      <c r="G134" s="429"/>
      <c r="H134" s="431"/>
      <c r="I134" s="92"/>
      <c r="J134" s="44"/>
      <c r="K134" s="223"/>
      <c r="L134" s="134"/>
      <c r="M134" s="152"/>
      <c r="N134" s="153"/>
      <c r="O134" s="154"/>
      <c r="P134" s="92"/>
      <c r="Q134" s="137"/>
      <c r="R134" s="138"/>
      <c r="S134" s="43"/>
      <c r="T134" s="24"/>
      <c r="U134" s="25"/>
      <c r="V134" s="26"/>
      <c r="W134" s="27"/>
      <c r="X134" s="27"/>
      <c r="Y134" s="28"/>
      <c r="Z134" s="28"/>
      <c r="AA134" s="58"/>
      <c r="AB134" s="29"/>
      <c r="AC134" s="30"/>
      <c r="AD134" s="139"/>
      <c r="AE134" s="41"/>
      <c r="AF134" s="41"/>
      <c r="AG134" s="41"/>
      <c r="AH134" s="41"/>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41"/>
    </row>
    <row r="135" spans="1:59" ht="12.75">
      <c r="A135" s="42"/>
      <c r="B135" s="23"/>
      <c r="C135" s="91" t="s">
        <v>1637</v>
      </c>
      <c r="D135" s="44" t="s">
        <v>1638</v>
      </c>
      <c r="E135" s="98">
        <f>TEChuilemoyenne</f>
        <v>0.047</v>
      </c>
      <c r="F135" s="133"/>
      <c r="G135" s="429" t="s">
        <v>1639</v>
      </c>
      <c r="H135" s="431" t="s">
        <v>1640</v>
      </c>
      <c r="I135" s="92">
        <f>VFCB</f>
        <v>26.71</v>
      </c>
      <c r="J135" s="44" t="s">
        <v>1641</v>
      </c>
      <c r="K135" s="223">
        <f>ROUND(I135*TEChuilemoyenne,2)</f>
        <v>1.26</v>
      </c>
      <c r="L135" s="134"/>
      <c r="M135" s="152" t="s">
        <v>1642</v>
      </c>
      <c r="N135" s="153"/>
      <c r="O135" s="154" t="str">
        <f>P</f>
        <v>. . .</v>
      </c>
      <c r="P135" s="92" t="str">
        <f>"(18)"</f>
        <v>(18)</v>
      </c>
      <c r="Q135" s="137">
        <f>TVACARBUAERONEFmetro</f>
        <v>5.2351600000000005</v>
      </c>
      <c r="R135" s="393">
        <f>TVACARBUAERONEFcorse</f>
        <v>3.4723</v>
      </c>
      <c r="S135" s="154"/>
      <c r="V135" s="26">
        <v>5729</v>
      </c>
      <c r="W135" s="195">
        <v>5901</v>
      </c>
      <c r="X135" s="195"/>
      <c r="Y135" s="28">
        <v>9050</v>
      </c>
      <c r="Z135" s="28">
        <v>9306</v>
      </c>
      <c r="AA135" s="161">
        <v>9301</v>
      </c>
      <c r="AB135" s="29"/>
      <c r="AC135" s="30"/>
      <c r="AD135" s="434"/>
      <c r="AE135" s="43"/>
      <c r="AF135" s="154"/>
      <c r="AG135" s="154"/>
      <c r="AH135" s="154"/>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41"/>
    </row>
    <row r="136" spans="1:59" ht="12.75">
      <c r="A136" s="42">
        <v>55</v>
      </c>
      <c r="B136" s="23" t="s">
        <v>1643</v>
      </c>
      <c r="C136" s="132" t="s">
        <v>1644</v>
      </c>
      <c r="D136" s="44" t="s">
        <v>1645</v>
      </c>
      <c r="E136" s="98">
        <f>TEChuilemoyenne</f>
        <v>0.047</v>
      </c>
      <c r="F136" s="133"/>
      <c r="G136" s="429" t="s">
        <v>1646</v>
      </c>
      <c r="H136" s="431" t="s">
        <v>1647</v>
      </c>
      <c r="I136" s="92">
        <f>VFCB</f>
        <v>26.71</v>
      </c>
      <c r="J136" s="44" t="s">
        <v>1648</v>
      </c>
      <c r="K136" s="223">
        <f>ROUND(I136*TEChuilemoyenne,2)</f>
        <v>1.26</v>
      </c>
      <c r="L136" s="134"/>
      <c r="M136" s="152">
        <f>TICBSCE</f>
        <v>2.54</v>
      </c>
      <c r="N136" s="153"/>
      <c r="O136" s="154" t="str">
        <f>P</f>
        <v>. . .</v>
      </c>
      <c r="P136" s="92" t="str">
        <f>"(18)"</f>
        <v>(18)</v>
      </c>
      <c r="Q136" s="137">
        <f>SUM(I136:P136)*19.6%</f>
        <v>5.97996</v>
      </c>
      <c r="R136" s="138">
        <f>SUM(I136:P136)*13%</f>
        <v>3.9663000000000004</v>
      </c>
      <c r="S136" s="166"/>
      <c r="T136" s="24">
        <v>5707</v>
      </c>
      <c r="U136" s="25"/>
      <c r="V136" s="26">
        <v>5729</v>
      </c>
      <c r="W136" s="195">
        <v>5919</v>
      </c>
      <c r="X136" s="195"/>
      <c r="Y136" s="28">
        <v>9055</v>
      </c>
      <c r="Z136" s="28">
        <v>9301</v>
      </c>
      <c r="AA136" s="28"/>
      <c r="AB136" s="29"/>
      <c r="AC136" s="30"/>
      <c r="AD136" s="139"/>
      <c r="AE136" s="41"/>
      <c r="AF136" s="41"/>
      <c r="AG136" s="41"/>
      <c r="AH136" s="41"/>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41"/>
    </row>
    <row r="137" spans="1:59" ht="12.75">
      <c r="A137" s="42">
        <v>56</v>
      </c>
      <c r="B137" s="23" t="s">
        <v>1649</v>
      </c>
      <c r="C137" s="91" t="s">
        <v>1650</v>
      </c>
      <c r="D137" s="44" t="s">
        <v>1651</v>
      </c>
      <c r="E137" s="98">
        <f>TEChuilemoyenne</f>
        <v>0.047</v>
      </c>
      <c r="F137" s="133"/>
      <c r="G137" s="429" t="s">
        <v>1652</v>
      </c>
      <c r="H137" s="431" t="s">
        <v>1653</v>
      </c>
      <c r="I137" s="92">
        <f>VFCB</f>
        <v>26.71</v>
      </c>
      <c r="J137" s="44" t="s">
        <v>1654</v>
      </c>
      <c r="K137" s="223">
        <f>ROUND(I137*TEChuilemoyenne,2)</f>
        <v>1.26</v>
      </c>
      <c r="L137" s="134"/>
      <c r="M137" s="152" t="s">
        <v>1655</v>
      </c>
      <c r="N137" s="153"/>
      <c r="O137" s="154" t="str">
        <f>P</f>
        <v>. . .</v>
      </c>
      <c r="P137" s="92" t="str">
        <f>P</f>
        <v>. . .</v>
      </c>
      <c r="Q137" s="137">
        <f>SUM(I137:P137)*19.6%</f>
        <v>5.482120000000001</v>
      </c>
      <c r="R137" s="138">
        <f>SUM(I137:P137)*13%</f>
        <v>3.6361000000000003</v>
      </c>
      <c r="S137" s="23"/>
      <c r="W137" s="195">
        <v>5946</v>
      </c>
      <c r="X137" s="195"/>
      <c r="Y137" s="28">
        <v>4012</v>
      </c>
      <c r="Z137" s="28">
        <v>9301</v>
      </c>
      <c r="AA137" s="28"/>
      <c r="AB137" s="29"/>
      <c r="AC137" s="30"/>
      <c r="AD137" s="31"/>
      <c r="AE137" s="32"/>
      <c r="AF137" s="32"/>
      <c r="AG137" s="32"/>
      <c r="AH137" s="41"/>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41"/>
    </row>
    <row r="138" spans="1:59" ht="12.75">
      <c r="A138" s="42">
        <v>57</v>
      </c>
      <c r="B138" s="23" t="s">
        <v>1656</v>
      </c>
      <c r="C138" s="132" t="s">
        <v>1657</v>
      </c>
      <c r="D138" s="44" t="s">
        <v>1658</v>
      </c>
      <c r="E138" s="430">
        <f>TEChuilemoyenne</f>
        <v>0.047</v>
      </c>
      <c r="F138" s="133"/>
      <c r="G138" s="435" t="s">
        <v>1659</v>
      </c>
      <c r="H138" s="23" t="s">
        <v>1660</v>
      </c>
      <c r="I138" s="92">
        <f>VFCB</f>
        <v>26.71</v>
      </c>
      <c r="J138" s="44" t="s">
        <v>1661</v>
      </c>
      <c r="K138" s="436">
        <f>ROUND(I138*TEChuilemoyenne,2)</f>
        <v>1.26</v>
      </c>
      <c r="L138" s="133"/>
      <c r="M138" s="152">
        <f>TIGO</f>
        <v>41.69</v>
      </c>
      <c r="N138" s="153"/>
      <c r="O138" s="154" t="str">
        <f>P</f>
        <v>. . .</v>
      </c>
      <c r="P138" s="92" t="str">
        <f>"(18)"</f>
        <v>(18)</v>
      </c>
      <c r="Q138" s="137">
        <f>SUM(I138:P138)*19.6%</f>
        <v>13.65336</v>
      </c>
      <c r="R138" s="138">
        <f>SUM(I138:P138)*13%</f>
        <v>9.0558</v>
      </c>
      <c r="S138" s="23"/>
      <c r="T138" s="24">
        <v>5712</v>
      </c>
      <c r="U138" s="25"/>
      <c r="V138" s="26">
        <v>5729</v>
      </c>
      <c r="W138" s="195">
        <v>5950</v>
      </c>
      <c r="X138" s="195"/>
      <c r="Y138" s="28">
        <v>9306</v>
      </c>
      <c r="Z138" s="28">
        <v>9301</v>
      </c>
      <c r="AA138" s="28"/>
      <c r="AB138" s="29"/>
      <c r="AC138" s="30"/>
      <c r="AD138" s="154"/>
      <c r="AE138" s="32"/>
      <c r="AF138" s="32"/>
      <c r="AG138" s="32"/>
      <c r="AH138" s="41"/>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41"/>
    </row>
    <row r="139" spans="1:59" ht="12.75">
      <c r="A139" s="42"/>
      <c r="B139" s="23"/>
      <c r="C139" s="132" t="s">
        <v>1662</v>
      </c>
      <c r="D139" s="45"/>
      <c r="E139" s="430"/>
      <c r="F139" s="133"/>
      <c r="G139" s="429"/>
      <c r="H139" s="431"/>
      <c r="I139" s="92"/>
      <c r="J139" s="44"/>
      <c r="K139" s="437"/>
      <c r="L139" s="134"/>
      <c r="M139" s="152"/>
      <c r="N139" s="153"/>
      <c r="O139" s="154"/>
      <c r="P139" s="433"/>
      <c r="Q139" s="155"/>
      <c r="R139" s="156"/>
      <c r="S139" s="23"/>
      <c r="T139" s="24"/>
      <c r="U139" s="25"/>
      <c r="V139" s="26"/>
      <c r="W139" s="27"/>
      <c r="X139" s="27"/>
      <c r="Y139" s="28"/>
      <c r="Z139" s="28"/>
      <c r="AA139" s="28"/>
      <c r="AB139" s="29"/>
      <c r="AC139" s="30"/>
      <c r="AD139" s="31"/>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41"/>
    </row>
    <row r="140" spans="1:59" ht="12.75">
      <c r="A140" s="42"/>
      <c r="B140" s="23"/>
      <c r="C140" s="132" t="s">
        <v>1663</v>
      </c>
      <c r="D140" s="45"/>
      <c r="E140" s="430"/>
      <c r="F140" s="133"/>
      <c r="G140" s="100"/>
      <c r="H140" s="431"/>
      <c r="I140" s="92"/>
      <c r="J140" s="44"/>
      <c r="K140" s="437"/>
      <c r="L140" s="134"/>
      <c r="M140" s="152"/>
      <c r="N140" s="153"/>
      <c r="O140" s="154"/>
      <c r="P140" s="92"/>
      <c r="Q140" s="137"/>
      <c r="R140" s="138"/>
      <c r="S140" s="409"/>
      <c r="T140" s="24"/>
      <c r="U140" s="25"/>
      <c r="V140" s="26"/>
      <c r="W140" s="27"/>
      <c r="X140" s="27"/>
      <c r="Y140" s="28"/>
      <c r="Z140" s="28"/>
      <c r="AA140" s="28"/>
      <c r="AB140" s="29"/>
      <c r="AC140" s="30"/>
      <c r="AD140" s="31"/>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41"/>
    </row>
    <row r="141" spans="1:59" ht="12.75">
      <c r="A141" s="42">
        <v>58</v>
      </c>
      <c r="B141" s="23" t="s">
        <v>1664</v>
      </c>
      <c r="C141" s="91" t="s">
        <v>1665</v>
      </c>
      <c r="D141" s="44" t="s">
        <v>1666</v>
      </c>
      <c r="E141" s="430">
        <f>TEChuilemoyenne</f>
        <v>0.047</v>
      </c>
      <c r="F141" s="133"/>
      <c r="G141" s="100" t="str">
        <f>P</f>
        <v>. . .</v>
      </c>
      <c r="H141" s="431" t="s">
        <v>1667</v>
      </c>
      <c r="I141" s="92">
        <f>VFPL</f>
        <v>26.71</v>
      </c>
      <c r="J141" s="44" t="s">
        <v>1668</v>
      </c>
      <c r="K141" s="437">
        <f>ROUND(I141*TEChuilemoyenne,2)</f>
        <v>1.26</v>
      </c>
      <c r="L141" s="134"/>
      <c r="M141" s="152">
        <f>TIFD</f>
        <v>5.66</v>
      </c>
      <c r="N141" s="153"/>
      <c r="O141" s="154" t="str">
        <f>P</f>
        <v>. . .</v>
      </c>
      <c r="P141" s="92" t="str">
        <f>"(18)"</f>
        <v>(18)</v>
      </c>
      <c r="Q141" s="137">
        <f>TVALAMPANTCOMBMETRO</f>
        <v>6.591480000000001</v>
      </c>
      <c r="R141" s="393">
        <f>TVALAMPANTCOMBCORSE</f>
        <v>4.3719</v>
      </c>
      <c r="S141" s="409"/>
      <c r="T141" s="157">
        <v>5710</v>
      </c>
      <c r="U141" s="158"/>
      <c r="V141" s="159">
        <v>5732</v>
      </c>
      <c r="W141" s="167">
        <v>5921</v>
      </c>
      <c r="X141" s="167"/>
      <c r="Y141" s="161">
        <v>4013</v>
      </c>
      <c r="Z141" s="161">
        <v>9943</v>
      </c>
      <c r="AA141" s="28">
        <v>9301</v>
      </c>
      <c r="AB141" s="29"/>
      <c r="AC141" s="30"/>
      <c r="AD141" s="31"/>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41"/>
    </row>
    <row r="142" spans="1:59" ht="12.75">
      <c r="A142" s="42">
        <v>59</v>
      </c>
      <c r="B142" s="23" t="s">
        <v>1669</v>
      </c>
      <c r="C142" s="91" t="s">
        <v>1670</v>
      </c>
      <c r="D142" s="44" t="s">
        <v>1671</v>
      </c>
      <c r="E142" s="430">
        <f>TEChuilemoyenne</f>
        <v>0.047</v>
      </c>
      <c r="F142" s="133"/>
      <c r="G142" s="100" t="str">
        <f>P</f>
        <v>. . .</v>
      </c>
      <c r="H142" s="431" t="s">
        <v>1672</v>
      </c>
      <c r="I142" s="92">
        <f>VFPL</f>
        <v>26.71</v>
      </c>
      <c r="J142" s="44" t="s">
        <v>1673</v>
      </c>
      <c r="K142" s="437">
        <f>ROUND(I142*TEChuilemoyenne,2)</f>
        <v>1.26</v>
      </c>
      <c r="L142" s="134"/>
      <c r="M142" s="152">
        <f>TIFD</f>
        <v>5.66</v>
      </c>
      <c r="N142" s="153"/>
      <c r="O142" s="154" t="str">
        <f>P</f>
        <v>. . .</v>
      </c>
      <c r="P142" s="92" t="str">
        <f>"(18)"</f>
        <v>(18)</v>
      </c>
      <c r="Q142" s="137">
        <f>SUM(I142:P142)*19.6%</f>
        <v>6.591480000000001</v>
      </c>
      <c r="R142" s="138">
        <f>SUM(I142:P142)*13%</f>
        <v>4.3719</v>
      </c>
      <c r="S142" s="409"/>
      <c r="T142" s="24">
        <v>5710</v>
      </c>
      <c r="U142" s="25"/>
      <c r="V142" s="26">
        <v>5732</v>
      </c>
      <c r="W142" s="195">
        <v>5921</v>
      </c>
      <c r="X142" s="195"/>
      <c r="Y142" s="28">
        <v>4013</v>
      </c>
      <c r="Z142" s="28">
        <v>9301</v>
      </c>
      <c r="AA142" s="28"/>
      <c r="AB142" s="29"/>
      <c r="AC142" s="30"/>
      <c r="AD142" s="31"/>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41"/>
    </row>
    <row r="143" spans="1:59" ht="12.75">
      <c r="A143" s="42">
        <v>60</v>
      </c>
      <c r="B143" s="23" t="s">
        <v>1674</v>
      </c>
      <c r="C143" s="132" t="s">
        <v>1675</v>
      </c>
      <c r="D143" s="44" t="s">
        <v>1676</v>
      </c>
      <c r="E143" s="430">
        <f>TEChuilemoyenne</f>
        <v>0.047</v>
      </c>
      <c r="F143" s="133"/>
      <c r="G143" s="194" t="str">
        <f>P</f>
        <v>. . .</v>
      </c>
      <c r="H143" s="23" t="s">
        <v>1677</v>
      </c>
      <c r="I143" s="92">
        <f>VFPL</f>
        <v>26.71</v>
      </c>
      <c r="J143" s="44" t="s">
        <v>1678</v>
      </c>
      <c r="K143" s="436">
        <f>ROUND(I143*TEChuilemoyenne,2)</f>
        <v>1.26</v>
      </c>
      <c r="L143" s="133"/>
      <c r="M143" s="152">
        <f>TIGO</f>
        <v>41.69</v>
      </c>
      <c r="N143" s="274"/>
      <c r="O143" s="154" t="str">
        <f>P</f>
        <v>. . .</v>
      </c>
      <c r="P143" s="92" t="str">
        <f>"(18)"</f>
        <v>(18)</v>
      </c>
      <c r="Q143" s="137">
        <f>SUM(I143:P143)*19.6%</f>
        <v>13.65336</v>
      </c>
      <c r="R143" s="138">
        <f>SUM(I143:P143)*13%</f>
        <v>9.0558</v>
      </c>
      <c r="S143" s="409"/>
      <c r="T143" s="24">
        <v>5712</v>
      </c>
      <c r="U143" s="25"/>
      <c r="V143" s="26">
        <v>5732</v>
      </c>
      <c r="W143" s="195">
        <v>5925</v>
      </c>
      <c r="X143" s="195"/>
      <c r="Y143" s="28">
        <v>9306</v>
      </c>
      <c r="Z143" s="28">
        <v>9301</v>
      </c>
      <c r="AA143" s="28"/>
      <c r="AB143" s="29"/>
      <c r="AC143" s="30"/>
      <c r="AD143" s="31"/>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41"/>
    </row>
    <row r="144" spans="1:59" ht="12.75">
      <c r="A144" s="42">
        <v>61</v>
      </c>
      <c r="B144" s="23" t="s">
        <v>1679</v>
      </c>
      <c r="C144" s="132" t="s">
        <v>1680</v>
      </c>
      <c r="D144" s="44" t="s">
        <v>1681</v>
      </c>
      <c r="E144" s="98">
        <f>TEChuilemoyenne</f>
        <v>0.047</v>
      </c>
      <c r="F144" s="133"/>
      <c r="G144" s="100" t="str">
        <f>P</f>
        <v>. . .</v>
      </c>
      <c r="H144" s="431" t="s">
        <v>1682</v>
      </c>
      <c r="I144" s="92">
        <f>VFPL</f>
        <v>26.71</v>
      </c>
      <c r="J144" s="44" t="s">
        <v>1683</v>
      </c>
      <c r="K144" s="223">
        <f>ROUND(I144*TEChuilemoyenne,2)</f>
        <v>1.26</v>
      </c>
      <c r="L144" s="134"/>
      <c r="M144" s="152" t="s">
        <v>1684</v>
      </c>
      <c r="N144" s="153"/>
      <c r="O144" s="154" t="str">
        <f>P</f>
        <v>. . .</v>
      </c>
      <c r="P144" s="92" t="str">
        <f>P</f>
        <v>. . .</v>
      </c>
      <c r="Q144" s="137">
        <f>SUM(I144:P144)*19.6%</f>
        <v>5.482120000000001</v>
      </c>
      <c r="R144" s="138">
        <f>SUM(I144:P144)*13%</f>
        <v>3.6361000000000003</v>
      </c>
      <c r="S144" s="409"/>
      <c r="W144" s="195">
        <v>5910</v>
      </c>
      <c r="X144" s="195"/>
      <c r="Y144" s="28">
        <v>4012</v>
      </c>
      <c r="Z144" s="28">
        <v>9301</v>
      </c>
      <c r="AA144" s="161"/>
      <c r="AB144" s="29"/>
      <c r="AC144" s="30"/>
      <c r="AD144" s="31"/>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41"/>
    </row>
    <row r="145" spans="1:59" ht="12.75">
      <c r="A145" s="42"/>
      <c r="B145" s="23"/>
      <c r="C145" s="132" t="s">
        <v>1685</v>
      </c>
      <c r="D145" s="45"/>
      <c r="E145" s="98"/>
      <c r="F145" s="133"/>
      <c r="G145" s="429"/>
      <c r="H145" s="431"/>
      <c r="I145" s="44"/>
      <c r="J145" s="44"/>
      <c r="K145" s="134"/>
      <c r="L145" s="134"/>
      <c r="M145" s="152"/>
      <c r="N145" s="153"/>
      <c r="O145" s="154"/>
      <c r="P145" s="155"/>
      <c r="Q145" s="137"/>
      <c r="R145" s="138"/>
      <c r="S145" s="166"/>
      <c r="T145" s="24"/>
      <c r="U145" s="25"/>
      <c r="V145" s="26"/>
      <c r="W145" s="27"/>
      <c r="X145" s="27"/>
      <c r="Y145" s="28"/>
      <c r="Z145" s="28"/>
      <c r="AA145" s="28"/>
      <c r="AB145" s="29"/>
      <c r="AC145" s="30"/>
      <c r="AD145" s="31"/>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41"/>
    </row>
    <row r="146" spans="1:59" ht="12.75">
      <c r="A146" s="42">
        <v>62</v>
      </c>
      <c r="B146" s="23" t="s">
        <v>1686</v>
      </c>
      <c r="C146" s="132" t="s">
        <v>1687</v>
      </c>
      <c r="D146" s="44" t="s">
        <v>1688</v>
      </c>
      <c r="E146" s="430">
        <f>TEChuilemoyenne</f>
        <v>0.047</v>
      </c>
      <c r="F146" s="133"/>
      <c r="G146" s="194" t="str">
        <f>P</f>
        <v>. . .</v>
      </c>
      <c r="H146" s="23" t="s">
        <v>1689</v>
      </c>
      <c r="I146" s="92">
        <f>VFPL</f>
        <v>26.71</v>
      </c>
      <c r="J146" s="44" t="s">
        <v>1690</v>
      </c>
      <c r="K146" s="436">
        <f>ROUND(I146*TEChuilemoyenne,2)</f>
        <v>1.26</v>
      </c>
      <c r="L146" s="133"/>
      <c r="M146" s="152">
        <f>TIGO</f>
        <v>41.69</v>
      </c>
      <c r="N146" s="274"/>
      <c r="O146" s="154" t="str">
        <f>P</f>
        <v>. . .</v>
      </c>
      <c r="P146" s="92" t="str">
        <f>P</f>
        <v>. . .</v>
      </c>
      <c r="Q146" s="137">
        <f>TVAPLMETRO</f>
        <v>13.65336</v>
      </c>
      <c r="R146" s="138">
        <f>TVAPLCORSE</f>
        <v>9.0558</v>
      </c>
      <c r="S146" s="409"/>
      <c r="T146" s="24">
        <v>5712</v>
      </c>
      <c r="U146" s="25"/>
      <c r="W146" s="195">
        <v>5922</v>
      </c>
      <c r="X146" s="195"/>
      <c r="Y146" s="28">
        <v>9348</v>
      </c>
      <c r="Z146" s="28">
        <v>9302</v>
      </c>
      <c r="AA146" s="28"/>
      <c r="AB146" s="29"/>
      <c r="AC146" s="30"/>
      <c r="AD146" s="31"/>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41"/>
    </row>
    <row r="147" spans="1:59" ht="12.75">
      <c r="A147" s="197">
        <v>63</v>
      </c>
      <c r="B147" s="198" t="s">
        <v>1691</v>
      </c>
      <c r="C147" s="438" t="s">
        <v>1692</v>
      </c>
      <c r="D147" s="205" t="s">
        <v>1693</v>
      </c>
      <c r="E147" s="201">
        <f>TEChuilemoyenne</f>
        <v>0.047</v>
      </c>
      <c r="F147" s="202"/>
      <c r="G147" s="203" t="str">
        <f>P</f>
        <v>. . .</v>
      </c>
      <c r="H147" s="439" t="s">
        <v>1694</v>
      </c>
      <c r="I147" s="210">
        <f>VFPL</f>
        <v>26.71</v>
      </c>
      <c r="J147" s="205" t="s">
        <v>1695</v>
      </c>
      <c r="K147" s="394">
        <f>ROUND(I147*TEChuilemoyenne,2)</f>
        <v>1.26</v>
      </c>
      <c r="L147" s="206"/>
      <c r="M147" s="207" t="s">
        <v>1696</v>
      </c>
      <c r="N147" s="208"/>
      <c r="O147" s="209" t="str">
        <f>P</f>
        <v>. . .</v>
      </c>
      <c r="P147" s="210" t="str">
        <f>P</f>
        <v>. . .</v>
      </c>
      <c r="Q147" s="440">
        <f>TVAAUTRLAMPAUTR</f>
        <v>5.482120000000001</v>
      </c>
      <c r="R147" s="441">
        <f>SUM(I147:P147)*13%</f>
        <v>3.6361000000000003</v>
      </c>
      <c r="S147" s="409"/>
      <c r="W147" s="195">
        <v>5910</v>
      </c>
      <c r="X147" s="195"/>
      <c r="Y147" s="28">
        <v>4012</v>
      </c>
      <c r="Z147" s="28">
        <v>9302</v>
      </c>
      <c r="AA147" s="28"/>
      <c r="AB147" s="29"/>
      <c r="AC147" s="30"/>
      <c r="AD147" s="31"/>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41"/>
    </row>
    <row r="148" spans="1:59" ht="12.75">
      <c r="A148" s="118"/>
      <c r="B148" s="235"/>
      <c r="C148" s="407"/>
      <c r="D148" s="442"/>
      <c r="E148" s="443"/>
      <c r="F148" s="238"/>
      <c r="G148" s="240"/>
      <c r="H148" s="240"/>
      <c r="K148" s="444"/>
      <c r="L148" s="242"/>
      <c r="M148" s="295"/>
      <c r="N148" s="295"/>
      <c r="O148" s="245"/>
      <c r="P148" s="245"/>
      <c r="Q148" s="445"/>
      <c r="R148" s="446"/>
      <c r="S148" s="409"/>
      <c r="T148" s="298"/>
      <c r="U148" s="299"/>
      <c r="V148" s="360"/>
      <c r="W148" s="363"/>
      <c r="X148" s="363"/>
      <c r="Y148" s="362"/>
      <c r="Z148" s="362"/>
      <c r="AA148" s="28"/>
      <c r="AB148" s="29"/>
      <c r="AC148" s="30"/>
      <c r="AD148" s="31"/>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41"/>
    </row>
    <row r="149" spans="1:59" ht="12.75">
      <c r="A149" s="447"/>
      <c r="B149" s="23"/>
      <c r="C149" s="448" t="s">
        <v>1697</v>
      </c>
      <c r="D149" s="293"/>
      <c r="E149" s="449"/>
      <c r="F149" s="450"/>
      <c r="G149" s="451" t="s">
        <v>1698</v>
      </c>
      <c r="H149" s="452"/>
      <c r="I149" s="293"/>
      <c r="J149" s="293"/>
      <c r="K149" s="281"/>
      <c r="L149" s="453"/>
      <c r="M149" s="250"/>
      <c r="N149" s="454"/>
      <c r="O149" s="454"/>
      <c r="Q149" s="455"/>
      <c r="R149" s="456"/>
      <c r="S149" s="409"/>
      <c r="T149" s="457"/>
      <c r="U149" s="458"/>
      <c r="V149" s="26"/>
      <c r="W149" s="27"/>
      <c r="X149" s="27"/>
      <c r="Y149" s="28"/>
      <c r="Z149" s="28"/>
      <c r="AA149" s="28"/>
      <c r="AB149" s="29"/>
      <c r="AC149" s="30"/>
      <c r="AD149" s="31"/>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41"/>
    </row>
    <row r="150" spans="1:59" ht="12.75">
      <c r="A150" s="212"/>
      <c r="B150" s="213"/>
      <c r="C150" s="459" t="s">
        <v>1699</v>
      </c>
      <c r="D150" s="215"/>
      <c r="E150" s="216"/>
      <c r="F150" s="217"/>
      <c r="G150" s="69"/>
      <c r="H150" s="460"/>
      <c r="I150" s="71"/>
      <c r="J150" s="53"/>
      <c r="K150" s="461"/>
      <c r="L150" s="218"/>
      <c r="M150" s="219"/>
      <c r="N150" s="220"/>
      <c r="O150" s="221"/>
      <c r="P150" s="71"/>
      <c r="Q150" s="413"/>
      <c r="R150" s="414"/>
      <c r="S150" s="409"/>
      <c r="T150" s="24"/>
      <c r="U150" s="25"/>
      <c r="V150" s="26"/>
      <c r="W150" s="27"/>
      <c r="X150" s="27"/>
      <c r="Y150" s="28"/>
      <c r="Z150" s="28"/>
      <c r="AA150" s="28"/>
      <c r="AB150" s="29"/>
      <c r="AC150" s="267"/>
      <c r="AD150" s="31"/>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41"/>
    </row>
    <row r="151" spans="1:59" ht="6" customHeight="1">
      <c r="A151" s="42"/>
      <c r="B151" s="235"/>
      <c r="C151" s="462"/>
      <c r="D151" s="236"/>
      <c r="E151" s="427"/>
      <c r="F151" s="238"/>
      <c r="G151" s="424"/>
      <c r="H151" s="425"/>
      <c r="I151" s="241"/>
      <c r="J151" s="241"/>
      <c r="K151" s="428"/>
      <c r="L151" s="242"/>
      <c r="M151" s="243"/>
      <c r="N151" s="244"/>
      <c r="O151" s="245"/>
      <c r="P151" s="246"/>
      <c r="Q151" s="247"/>
      <c r="R151" s="248"/>
      <c r="S151" s="23"/>
      <c r="T151" s="24"/>
      <c r="U151" s="25"/>
      <c r="V151" s="26"/>
      <c r="W151" s="27"/>
      <c r="X151" s="27"/>
      <c r="Y151" s="28"/>
      <c r="Z151" s="28"/>
      <c r="AA151" s="362"/>
      <c r="AB151" s="227"/>
      <c r="AC151" s="29"/>
      <c r="AD151" s="31"/>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41"/>
    </row>
    <row r="152" spans="1:60" ht="13.5">
      <c r="A152" s="42"/>
      <c r="B152" s="23"/>
      <c r="C152" s="132" t="s">
        <v>1700</v>
      </c>
      <c r="D152" s="278"/>
      <c r="E152" s="463"/>
      <c r="F152" s="41"/>
      <c r="G152" s="464"/>
      <c r="H152" s="465"/>
      <c r="I152" s="275"/>
      <c r="J152" s="275"/>
      <c r="K152" s="404"/>
      <c r="L152" s="404"/>
      <c r="M152" s="282"/>
      <c r="N152" s="283"/>
      <c r="O152" s="139"/>
      <c r="P152" s="275"/>
      <c r="Q152" s="285"/>
      <c r="R152" s="286"/>
      <c r="T152" s="252"/>
      <c r="U152" s="253"/>
      <c r="V152" s="254"/>
      <c r="W152" s="255"/>
      <c r="X152" s="255"/>
      <c r="Y152" s="256"/>
      <c r="Z152" s="256"/>
      <c r="AA152" s="28"/>
      <c r="AB152" s="319"/>
      <c r="AC152" s="30"/>
      <c r="AD152" s="30"/>
      <c r="AE152" s="43"/>
      <c r="AF152" s="23"/>
      <c r="AG152" s="23"/>
      <c r="AH152" s="23"/>
      <c r="AI152" s="229"/>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250"/>
    </row>
    <row r="153" spans="1:60" ht="12.75">
      <c r="A153" s="42">
        <v>64</v>
      </c>
      <c r="B153" s="23" t="s">
        <v>1701</v>
      </c>
      <c r="C153" s="132" t="s">
        <v>1702</v>
      </c>
      <c r="D153" s="45" t="s">
        <v>1703</v>
      </c>
      <c r="E153" s="98" t="s">
        <v>1704</v>
      </c>
      <c r="F153" s="133"/>
      <c r="G153" s="429" t="s">
        <v>1705</v>
      </c>
      <c r="H153" s="101" t="s">
        <v>1706</v>
      </c>
      <c r="I153" s="44" t="str">
        <f>R</f>
        <v>Réelle</v>
      </c>
      <c r="J153" s="44" t="s">
        <v>1707</v>
      </c>
      <c r="K153" s="225" t="s">
        <v>1708</v>
      </c>
      <c r="L153" s="134"/>
      <c r="M153" s="152" t="str">
        <f>"(3)"</f>
        <v>(3)</v>
      </c>
      <c r="N153" s="153"/>
      <c r="O153" s="154" t="str">
        <f>P</f>
        <v>. . .</v>
      </c>
      <c r="P153" s="92" t="str">
        <f>"(3)"</f>
        <v>(3)</v>
      </c>
      <c r="Q153" s="92" t="str">
        <f>"(3)"</f>
        <v>(3)</v>
      </c>
      <c r="R153" s="171" t="str">
        <f>"(3)"</f>
        <v>(3)</v>
      </c>
      <c r="S153" s="318"/>
      <c r="W153" s="255" t="str">
        <f>t</f>
        <v>TVO</v>
      </c>
      <c r="X153" s="255">
        <v>5930</v>
      </c>
      <c r="Y153" s="256">
        <v>9052</v>
      </c>
      <c r="Z153" s="256">
        <v>9301</v>
      </c>
      <c r="AA153" s="28"/>
      <c r="AB153" s="29"/>
      <c r="AC153" s="30"/>
      <c r="AD153" s="30"/>
      <c r="AE153" s="31"/>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41"/>
    </row>
    <row r="154" spans="1:59" ht="13.5">
      <c r="A154" s="42">
        <v>65</v>
      </c>
      <c r="B154" s="23" t="s">
        <v>1709</v>
      </c>
      <c r="C154" s="132" t="s">
        <v>1710</v>
      </c>
      <c r="D154" s="278"/>
      <c r="E154" s="463"/>
      <c r="F154" s="41"/>
      <c r="G154" s="464"/>
      <c r="H154" s="465"/>
      <c r="I154" s="275"/>
      <c r="J154" s="275"/>
      <c r="K154" s="404"/>
      <c r="L154" s="404"/>
      <c r="M154" s="282"/>
      <c r="N154" s="283"/>
      <c r="O154" s="139"/>
      <c r="P154" s="275"/>
      <c r="Q154" s="285"/>
      <c r="R154" s="286"/>
      <c r="S154" s="409"/>
      <c r="T154" s="353"/>
      <c r="U154" s="354"/>
      <c r="AA154" s="28"/>
      <c r="AB154" s="29"/>
      <c r="AC154" s="30"/>
      <c r="AD154" s="31"/>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41"/>
    </row>
    <row r="155" spans="1:59" ht="12.75">
      <c r="A155" s="42"/>
      <c r="B155" s="23"/>
      <c r="C155" s="132" t="s">
        <v>1711</v>
      </c>
      <c r="D155" s="45" t="s">
        <v>1712</v>
      </c>
      <c r="E155" s="98" t="s">
        <v>1713</v>
      </c>
      <c r="F155" s="133"/>
      <c r="G155" s="429" t="s">
        <v>1714</v>
      </c>
      <c r="H155" s="101" t="s">
        <v>1715</v>
      </c>
      <c r="I155" s="92" t="str">
        <f>R</f>
        <v>Réelle</v>
      </c>
      <c r="J155" s="44" t="s">
        <v>1716</v>
      </c>
      <c r="K155" s="225" t="s">
        <v>1717</v>
      </c>
      <c r="L155" s="134"/>
      <c r="M155" s="152" t="str">
        <f>"(3)"</f>
        <v>(3)</v>
      </c>
      <c r="N155" s="153"/>
      <c r="O155" s="154" t="str">
        <f>P</f>
        <v>. . .</v>
      </c>
      <c r="P155" s="92" t="str">
        <f>"(3)"</f>
        <v>(3)</v>
      </c>
      <c r="Q155" s="92" t="str">
        <f>"(3)"</f>
        <v>(3)</v>
      </c>
      <c r="R155" s="171" t="str">
        <f>"(3)"</f>
        <v>(3)</v>
      </c>
      <c r="S155" s="409"/>
      <c r="W155" s="255" t="str">
        <f>t</f>
        <v>TVO</v>
      </c>
      <c r="X155" s="255">
        <v>5930</v>
      </c>
      <c r="Y155" s="256">
        <v>9052</v>
      </c>
      <c r="Z155" s="58">
        <v>9301</v>
      </c>
      <c r="AA155" s="256"/>
      <c r="AB155" s="29"/>
      <c r="AC155" s="30"/>
      <c r="AD155" s="31"/>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41"/>
    </row>
    <row r="156" spans="1:59" ht="12.75">
      <c r="A156" s="42"/>
      <c r="B156" s="23"/>
      <c r="C156" s="132" t="s">
        <v>1718</v>
      </c>
      <c r="D156" s="45"/>
      <c r="E156" s="98"/>
      <c r="F156" s="133"/>
      <c r="G156" s="429"/>
      <c r="H156" s="101"/>
      <c r="I156" s="92"/>
      <c r="J156" s="44"/>
      <c r="K156" s="134"/>
      <c r="L156" s="134"/>
      <c r="M156" s="152"/>
      <c r="N156" s="153"/>
      <c r="O156" s="154"/>
      <c r="P156" s="433"/>
      <c r="Q156" s="137"/>
      <c r="R156" s="138"/>
      <c r="S156" s="235"/>
      <c r="T156" s="353"/>
      <c r="U156" s="354"/>
      <c r="AA156" s="256"/>
      <c r="AB156" s="29"/>
      <c r="AC156" s="30"/>
      <c r="AD156" s="31"/>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41"/>
    </row>
    <row r="157" spans="1:59" ht="12.75">
      <c r="A157" s="42"/>
      <c r="B157" s="23"/>
      <c r="C157" s="132" t="s">
        <v>1719</v>
      </c>
      <c r="D157" s="45"/>
      <c r="E157" s="98"/>
      <c r="F157" s="133"/>
      <c r="G157" s="429"/>
      <c r="H157" s="101"/>
      <c r="I157" s="92"/>
      <c r="J157" s="44"/>
      <c r="K157" s="134"/>
      <c r="L157" s="134"/>
      <c r="M157" s="152"/>
      <c r="N157" s="153"/>
      <c r="O157" s="154"/>
      <c r="P157" s="433"/>
      <c r="Q157" s="137"/>
      <c r="R157" s="138"/>
      <c r="S157" s="235"/>
      <c r="T157" s="54"/>
      <c r="U157" s="55"/>
      <c r="V157" s="56"/>
      <c r="W157" s="57"/>
      <c r="X157" s="57"/>
      <c r="Y157" s="58"/>
      <c r="Z157" s="58"/>
      <c r="AB157" s="29"/>
      <c r="AC157" s="30"/>
      <c r="AD157" s="31"/>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41"/>
    </row>
    <row r="158" spans="1:59" ht="12.75">
      <c r="A158" s="320">
        <v>66</v>
      </c>
      <c r="B158" s="321" t="s">
        <v>1720</v>
      </c>
      <c r="C158" s="466" t="s">
        <v>1721</v>
      </c>
      <c r="D158" s="241" t="s">
        <v>1722</v>
      </c>
      <c r="E158" s="427" t="s">
        <v>1723</v>
      </c>
      <c r="F158" s="238"/>
      <c r="G158" s="424" t="s">
        <v>1724</v>
      </c>
      <c r="H158" s="240" t="s">
        <v>1725</v>
      </c>
      <c r="I158" s="269">
        <f>VFGO</f>
        <v>26.37</v>
      </c>
      <c r="J158" s="241" t="s">
        <v>1726</v>
      </c>
      <c r="K158" s="467" t="s">
        <v>1727</v>
      </c>
      <c r="L158" s="242"/>
      <c r="M158" s="243">
        <f>TIFD</f>
        <v>5.66</v>
      </c>
      <c r="N158" s="244"/>
      <c r="O158" s="245" t="str">
        <f>P</f>
        <v>. . .</v>
      </c>
      <c r="P158" s="269" t="str">
        <f>"(18)"</f>
        <v>(18)</v>
      </c>
      <c r="Q158" s="137">
        <f>SUM(I158:P158)*19.6%</f>
        <v>6.277880000000001</v>
      </c>
      <c r="R158" s="393">
        <f>SUM(I158:P158)*13%</f>
        <v>4.1639</v>
      </c>
      <c r="S158" s="230"/>
      <c r="T158" s="252">
        <v>5711</v>
      </c>
      <c r="U158" s="253"/>
      <c r="V158" s="254">
        <v>5732</v>
      </c>
      <c r="W158" s="257">
        <v>5936</v>
      </c>
      <c r="X158" s="257"/>
      <c r="Y158" s="256">
        <v>9306</v>
      </c>
      <c r="Z158" s="256">
        <v>9187</v>
      </c>
      <c r="AA158" s="58">
        <v>9301</v>
      </c>
      <c r="AB158" s="29"/>
      <c r="AC158" s="30"/>
      <c r="AD158" s="31"/>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41"/>
    </row>
    <row r="159" spans="1:59" ht="12.75">
      <c r="A159" s="42">
        <v>67</v>
      </c>
      <c r="B159" s="23" t="s">
        <v>1728</v>
      </c>
      <c r="C159" s="132" t="s">
        <v>1729</v>
      </c>
      <c r="D159" s="44"/>
      <c r="E159" s="430"/>
      <c r="F159" s="133"/>
      <c r="G159" s="429"/>
      <c r="H159" s="431"/>
      <c r="I159" s="92"/>
      <c r="J159" s="44"/>
      <c r="K159" s="437"/>
      <c r="L159" s="134"/>
      <c r="M159" s="152"/>
      <c r="N159" s="153"/>
      <c r="O159" s="154"/>
      <c r="P159" s="92"/>
      <c r="Q159" s="137"/>
      <c r="R159" s="393"/>
      <c r="S159" s="41"/>
      <c r="T159" s="24"/>
      <c r="U159" s="25"/>
      <c r="V159" s="26"/>
      <c r="W159" s="27"/>
      <c r="X159" s="27"/>
      <c r="Y159" s="28"/>
      <c r="Z159" s="28"/>
      <c r="AA159" s="58"/>
      <c r="AB159" s="29"/>
      <c r="AC159" s="30"/>
      <c r="AD159" s="31"/>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41"/>
    </row>
    <row r="160" spans="1:59" ht="12.75">
      <c r="A160" s="42"/>
      <c r="B160" s="23"/>
      <c r="C160" s="132" t="s">
        <v>1730</v>
      </c>
      <c r="D160" s="44" t="s">
        <v>1731</v>
      </c>
      <c r="E160" s="430" t="s">
        <v>1732</v>
      </c>
      <c r="F160" s="133"/>
      <c r="G160" s="429" t="s">
        <v>1733</v>
      </c>
      <c r="H160" s="431" t="s">
        <v>1734</v>
      </c>
      <c r="I160" s="92">
        <f>VFGO</f>
        <v>26.37</v>
      </c>
      <c r="J160" s="44" t="s">
        <v>1735</v>
      </c>
      <c r="K160" s="437" t="s">
        <v>1736</v>
      </c>
      <c r="L160" s="134"/>
      <c r="M160" s="152" t="s">
        <v>1737</v>
      </c>
      <c r="N160" s="153"/>
      <c r="O160" s="154" t="str">
        <f>P</f>
        <v>. . .</v>
      </c>
      <c r="P160" s="92" t="str">
        <f>P</f>
        <v>. . .</v>
      </c>
      <c r="Q160" s="137">
        <f>SUM(I160:P160)*19.6%</f>
        <v>5.16852</v>
      </c>
      <c r="R160" s="393">
        <f>SUM(I160:P160)*13%</f>
        <v>3.4281</v>
      </c>
      <c r="S160" s="154"/>
      <c r="W160" s="195">
        <v>5967</v>
      </c>
      <c r="X160" s="195"/>
      <c r="Y160" s="28">
        <v>4012</v>
      </c>
      <c r="Z160" s="28">
        <v>9301</v>
      </c>
      <c r="AA160" s="28"/>
      <c r="AB160" s="29"/>
      <c r="AC160" s="30"/>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41"/>
    </row>
    <row r="161" spans="1:59" ht="12.75">
      <c r="A161" s="42">
        <v>68</v>
      </c>
      <c r="B161" s="23" t="s">
        <v>1738</v>
      </c>
      <c r="C161" s="132" t="s">
        <v>1739</v>
      </c>
      <c r="D161" s="44" t="s">
        <v>1740</v>
      </c>
      <c r="E161" s="430" t="s">
        <v>1741</v>
      </c>
      <c r="F161" s="133"/>
      <c r="G161" s="429" t="s">
        <v>1742</v>
      </c>
      <c r="H161" s="431" t="s">
        <v>1743</v>
      </c>
      <c r="I161" s="92">
        <f>VFGO</f>
        <v>26.37</v>
      </c>
      <c r="J161" s="44" t="s">
        <v>1744</v>
      </c>
      <c r="K161" s="437" t="s">
        <v>1745</v>
      </c>
      <c r="L161" s="134"/>
      <c r="M161" s="152" t="s">
        <v>1746</v>
      </c>
      <c r="N161" s="153"/>
      <c r="O161" s="154" t="str">
        <f>P</f>
        <v>. . .</v>
      </c>
      <c r="P161" s="92" t="str">
        <f>P</f>
        <v>. . .</v>
      </c>
      <c r="Q161" s="137">
        <f>TVAGAZOLAUTREMETRO</f>
        <v>5.16852</v>
      </c>
      <c r="R161" s="393">
        <f>TVAGAZOLAUTRECORSE</f>
        <v>3.4281</v>
      </c>
      <c r="S161" s="23"/>
      <c r="W161" s="195">
        <v>5967</v>
      </c>
      <c r="X161" s="195"/>
      <c r="Y161" s="28">
        <v>4012</v>
      </c>
      <c r="Z161" s="28">
        <v>9301</v>
      </c>
      <c r="AA161" s="28"/>
      <c r="AB161" s="29"/>
      <c r="AC161" s="30"/>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41"/>
    </row>
    <row r="162" spans="1:59" s="5" customFormat="1" ht="12.75">
      <c r="A162" s="42">
        <v>69</v>
      </c>
      <c r="B162" s="23" t="s">
        <v>1747</v>
      </c>
      <c r="C162" s="132" t="s">
        <v>1748</v>
      </c>
      <c r="D162" s="44" t="s">
        <v>1749</v>
      </c>
      <c r="E162" s="98" t="s">
        <v>1750</v>
      </c>
      <c r="F162" s="133"/>
      <c r="G162" s="435" t="s">
        <v>1751</v>
      </c>
      <c r="H162" s="23" t="s">
        <v>1752</v>
      </c>
      <c r="I162" s="468">
        <f>VFGO</f>
        <v>26.37</v>
      </c>
      <c r="J162" s="44" t="s">
        <v>1753</v>
      </c>
      <c r="K162" s="469" t="s">
        <v>1754</v>
      </c>
      <c r="L162" s="133"/>
      <c r="M162" s="152">
        <f>TIGO</f>
        <v>41.69</v>
      </c>
      <c r="N162" s="153"/>
      <c r="O162" s="154" t="str">
        <f>P</f>
        <v>. . .</v>
      </c>
      <c r="P162" s="92" t="str">
        <f>"(18)"</f>
        <v>(18)</v>
      </c>
      <c r="Q162" s="137">
        <f>SUM(I162:P162)*19.6%</f>
        <v>13.339760000000002</v>
      </c>
      <c r="R162" s="393">
        <f>SUM(I162:P162)*13%</f>
        <v>8.847800000000001</v>
      </c>
      <c r="S162" s="23"/>
      <c r="T162" s="24">
        <v>5736</v>
      </c>
      <c r="U162" s="25"/>
      <c r="V162" s="26">
        <v>5732</v>
      </c>
      <c r="W162" s="195">
        <v>5937</v>
      </c>
      <c r="X162" s="195"/>
      <c r="Y162" s="28">
        <v>5719</v>
      </c>
      <c r="Z162" s="28">
        <v>9306</v>
      </c>
      <c r="AA162" s="11">
        <v>9301</v>
      </c>
      <c r="AB162" s="12"/>
      <c r="AC162" s="12"/>
      <c r="AD162" s="6"/>
      <c r="AE162" s="6"/>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41"/>
    </row>
    <row r="163" spans="1:59" s="5" customFormat="1" ht="13.5">
      <c r="A163" s="42">
        <v>70</v>
      </c>
      <c r="B163" s="23" t="s">
        <v>1755</v>
      </c>
      <c r="C163" s="132" t="s">
        <v>1756</v>
      </c>
      <c r="D163" s="44" t="s">
        <v>1757</v>
      </c>
      <c r="E163" s="98" t="s">
        <v>1758</v>
      </c>
      <c r="F163" s="133"/>
      <c r="G163" s="435" t="s">
        <v>1759</v>
      </c>
      <c r="H163" s="23" t="s">
        <v>1760</v>
      </c>
      <c r="I163" s="468">
        <f>VFGO</f>
        <v>26.37</v>
      </c>
      <c r="J163" s="44" t="s">
        <v>1761</v>
      </c>
      <c r="K163" s="469" t="s">
        <v>1762</v>
      </c>
      <c r="L163" s="133"/>
      <c r="M163" s="152">
        <f>TIGO</f>
        <v>41.69</v>
      </c>
      <c r="N163" s="153"/>
      <c r="O163" s="154" t="str">
        <f>P</f>
        <v>. . .</v>
      </c>
      <c r="P163" s="92" t="str">
        <f>"(18)"</f>
        <v>(18)</v>
      </c>
      <c r="Q163" s="137">
        <f>TVAGOMETRO</f>
        <v>13.339760000000002</v>
      </c>
      <c r="R163" s="393">
        <f>TVAGOCORSE</f>
        <v>8.847800000000001</v>
      </c>
      <c r="S163" s="23"/>
      <c r="T163" s="24">
        <v>5712</v>
      </c>
      <c r="U163" s="25"/>
      <c r="V163" s="26">
        <v>5732</v>
      </c>
      <c r="W163" s="195">
        <v>5937</v>
      </c>
      <c r="X163" s="195"/>
      <c r="Y163" s="28">
        <v>5719</v>
      </c>
      <c r="Z163" s="28">
        <v>9306</v>
      </c>
      <c r="AA163" s="28">
        <v>9301</v>
      </c>
      <c r="AB163" s="29"/>
      <c r="AC163" s="470"/>
      <c r="AD163" s="31"/>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41"/>
    </row>
    <row r="164" spans="1:59" ht="13.5">
      <c r="A164" s="42"/>
      <c r="B164" s="23"/>
      <c r="C164" s="132" t="s">
        <v>1763</v>
      </c>
      <c r="D164" s="44"/>
      <c r="E164" s="98"/>
      <c r="F164" s="133"/>
      <c r="G164" s="429"/>
      <c r="H164" s="101"/>
      <c r="I164" s="92"/>
      <c r="J164" s="44"/>
      <c r="K164" s="134"/>
      <c r="L164" s="134"/>
      <c r="M164" s="152"/>
      <c r="N164" s="153"/>
      <c r="O164" s="154"/>
      <c r="P164" s="433"/>
      <c r="Q164" s="137"/>
      <c r="R164" s="138"/>
      <c r="S164" s="23"/>
      <c r="T164" s="24"/>
      <c r="U164" s="25"/>
      <c r="V164" s="26"/>
      <c r="W164" s="27"/>
      <c r="X164" s="27"/>
      <c r="Y164" s="28"/>
      <c r="Z164" s="28"/>
      <c r="AA164" s="28"/>
      <c r="AB164" s="29"/>
      <c r="AC164" s="470"/>
      <c r="AD164" s="31"/>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41"/>
    </row>
    <row r="165" spans="1:92" s="485" customFormat="1" ht="12.75">
      <c r="A165" s="320">
        <v>71</v>
      </c>
      <c r="B165" s="321" t="s">
        <v>1764</v>
      </c>
      <c r="C165" s="164" t="s">
        <v>1765</v>
      </c>
      <c r="D165" s="329" t="s">
        <v>1766</v>
      </c>
      <c r="E165" s="324" t="s">
        <v>1767</v>
      </c>
      <c r="F165" s="325"/>
      <c r="G165" s="471" t="s">
        <v>1768</v>
      </c>
      <c r="H165" s="327" t="s">
        <v>1769</v>
      </c>
      <c r="I165" s="328">
        <f>VFFOD</f>
        <v>24.98</v>
      </c>
      <c r="J165" s="329" t="s">
        <v>1770</v>
      </c>
      <c r="K165" s="330" t="s">
        <v>1771</v>
      </c>
      <c r="L165" s="331"/>
      <c r="M165" s="332">
        <f>TIFD</f>
        <v>5.66</v>
      </c>
      <c r="N165" s="333"/>
      <c r="O165" s="334" t="str">
        <f>P</f>
        <v>. . .</v>
      </c>
      <c r="P165" s="328" t="str">
        <f>"(18)"</f>
        <v>(18)</v>
      </c>
      <c r="Q165" s="472">
        <f>SUM(I165:P165)*19.6%</f>
        <v>6.00544</v>
      </c>
      <c r="R165" s="473">
        <f>SUM(I165:P165)*13%</f>
        <v>3.9832</v>
      </c>
      <c r="S165" s="235"/>
      <c r="T165" s="474">
        <v>5710</v>
      </c>
      <c r="U165" s="475"/>
      <c r="V165" s="476">
        <v>5732</v>
      </c>
      <c r="W165" s="477">
        <v>5911</v>
      </c>
      <c r="X165" s="477"/>
      <c r="Y165" s="478">
        <v>9306</v>
      </c>
      <c r="Z165" s="478">
        <v>9187</v>
      </c>
      <c r="AA165" s="478">
        <v>9301</v>
      </c>
      <c r="AB165" s="479"/>
      <c r="AC165" s="480"/>
      <c r="AD165" s="481"/>
      <c r="AE165" s="482"/>
      <c r="AF165" s="482"/>
      <c r="AG165" s="482"/>
      <c r="AH165" s="482"/>
      <c r="AI165" s="482"/>
      <c r="AJ165" s="482"/>
      <c r="AK165" s="482"/>
      <c r="AL165" s="482"/>
      <c r="AM165" s="482"/>
      <c r="AN165" s="482"/>
      <c r="AO165" s="482"/>
      <c r="AP165" s="482"/>
      <c r="AQ165" s="482"/>
      <c r="AR165" s="482"/>
      <c r="AS165" s="482"/>
      <c r="AT165" s="482"/>
      <c r="AU165" s="482"/>
      <c r="AV165" s="482"/>
      <c r="AW165" s="482"/>
      <c r="AX165" s="482"/>
      <c r="AY165" s="482"/>
      <c r="AZ165" s="482"/>
      <c r="BA165" s="482"/>
      <c r="BB165" s="482"/>
      <c r="BC165" s="482"/>
      <c r="BD165" s="482"/>
      <c r="BE165" s="482"/>
      <c r="BF165" s="482"/>
      <c r="BG165" s="483"/>
      <c r="BH165" s="484"/>
      <c r="BI165" s="484"/>
      <c r="BJ165" s="484"/>
      <c r="BK165" s="484"/>
      <c r="BL165" s="484"/>
      <c r="BM165" s="484"/>
      <c r="BN165" s="484"/>
      <c r="BO165" s="484"/>
      <c r="BP165" s="484"/>
      <c r="BQ165" s="484"/>
      <c r="BR165" s="484"/>
      <c r="BS165" s="484"/>
      <c r="BT165" s="484"/>
      <c r="BU165" s="484"/>
      <c r="BV165" s="484"/>
      <c r="BW165" s="484"/>
      <c r="BX165" s="484"/>
      <c r="BY165" s="484"/>
      <c r="BZ165" s="484"/>
      <c r="CA165" s="484"/>
      <c r="CB165" s="484"/>
      <c r="CC165" s="484"/>
      <c r="CD165" s="484"/>
      <c r="CE165" s="484"/>
      <c r="CF165" s="484"/>
      <c r="CG165" s="484"/>
      <c r="CH165" s="484"/>
      <c r="CI165" s="484"/>
      <c r="CJ165" s="484"/>
      <c r="CK165" s="484"/>
      <c r="CL165" s="484"/>
      <c r="CM165" s="484"/>
      <c r="CN165" s="484"/>
    </row>
    <row r="166" spans="1:59" ht="12.75">
      <c r="A166" s="42">
        <v>72</v>
      </c>
      <c r="B166" s="23" t="s">
        <v>1772</v>
      </c>
      <c r="C166" s="132" t="s">
        <v>1773</v>
      </c>
      <c r="D166" s="44" t="s">
        <v>1774</v>
      </c>
      <c r="E166" s="98" t="s">
        <v>1775</v>
      </c>
      <c r="F166" s="133"/>
      <c r="G166" s="429" t="s">
        <v>1776</v>
      </c>
      <c r="H166" s="431" t="s">
        <v>1777</v>
      </c>
      <c r="I166" s="92">
        <f>VFFOD</f>
        <v>24.98</v>
      </c>
      <c r="J166" s="44" t="s">
        <v>1778</v>
      </c>
      <c r="K166" s="223" t="s">
        <v>1779</v>
      </c>
      <c r="L166" s="134"/>
      <c r="M166" s="152" t="s">
        <v>1780</v>
      </c>
      <c r="N166" s="153"/>
      <c r="O166" s="154" t="str">
        <f>P</f>
        <v>. . .</v>
      </c>
      <c r="P166" s="92" t="str">
        <f>P</f>
        <v>. . .</v>
      </c>
      <c r="Q166" s="137">
        <f>TVAGAZOLAUTREMETRO</f>
        <v>5.16852</v>
      </c>
      <c r="R166" s="393">
        <f>TVAGAZOLAUTRECORSE</f>
        <v>3.4281</v>
      </c>
      <c r="S166" s="409"/>
      <c r="W166" s="195">
        <v>5967</v>
      </c>
      <c r="X166" s="195"/>
      <c r="Y166" s="28">
        <v>4012</v>
      </c>
      <c r="Z166" s="28">
        <v>9301</v>
      </c>
      <c r="AA166" s="28"/>
      <c r="AB166" s="29"/>
      <c r="AC166" s="30"/>
      <c r="AD166" s="31"/>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41"/>
    </row>
    <row r="167" spans="1:59" s="5" customFormat="1" ht="12.75">
      <c r="A167" s="42">
        <v>73</v>
      </c>
      <c r="B167" s="23" t="s">
        <v>1781</v>
      </c>
      <c r="C167" s="132" t="s">
        <v>1782</v>
      </c>
      <c r="D167" s="44" t="s">
        <v>1783</v>
      </c>
      <c r="E167" s="98" t="s">
        <v>1784</v>
      </c>
      <c r="F167" s="133"/>
      <c r="G167" s="435" t="s">
        <v>1785</v>
      </c>
      <c r="H167" s="23" t="s">
        <v>1786</v>
      </c>
      <c r="I167" s="92">
        <f>VFFOD</f>
        <v>24.98</v>
      </c>
      <c r="J167" s="44" t="s">
        <v>1787</v>
      </c>
      <c r="K167" s="469" t="s">
        <v>1788</v>
      </c>
      <c r="L167" s="133"/>
      <c r="M167" s="152">
        <f>TIGO</f>
        <v>41.69</v>
      </c>
      <c r="N167" s="153"/>
      <c r="O167" s="154" t="str">
        <f>P</f>
        <v>. . .</v>
      </c>
      <c r="P167" s="92" t="str">
        <f>"(18)"</f>
        <v>(18)</v>
      </c>
      <c r="Q167" s="137">
        <f>TVAGOAUTRMETRO</f>
        <v>13.237839999999998</v>
      </c>
      <c r="R167" s="393">
        <f>TVAGOAUTRCORSE</f>
        <v>8.780199999999999</v>
      </c>
      <c r="S167" s="409"/>
      <c r="T167" s="157">
        <v>5712</v>
      </c>
      <c r="U167" s="158"/>
      <c r="V167" s="159">
        <v>5732</v>
      </c>
      <c r="W167" s="167">
        <v>5934</v>
      </c>
      <c r="X167" s="167"/>
      <c r="Y167" s="161">
        <v>9196</v>
      </c>
      <c r="Z167" s="161">
        <v>9306</v>
      </c>
      <c r="AA167" s="28">
        <v>9301</v>
      </c>
      <c r="AB167" s="29"/>
      <c r="AC167" s="30"/>
      <c r="AD167" s="31"/>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41"/>
    </row>
    <row r="168" spans="1:59" ht="12.75">
      <c r="A168" s="42"/>
      <c r="B168" s="23"/>
      <c r="C168" s="132" t="s">
        <v>1789</v>
      </c>
      <c r="D168" s="45"/>
      <c r="E168" s="98"/>
      <c r="F168" s="133"/>
      <c r="G168" s="429"/>
      <c r="H168" s="431"/>
      <c r="I168" s="92"/>
      <c r="J168" s="44"/>
      <c r="K168" s="134"/>
      <c r="L168" s="134"/>
      <c r="M168" s="152"/>
      <c r="N168" s="153"/>
      <c r="O168" s="154"/>
      <c r="P168" s="155"/>
      <c r="Q168" s="137"/>
      <c r="R168" s="138"/>
      <c r="S168" s="409"/>
      <c r="T168" s="24"/>
      <c r="U168" s="25"/>
      <c r="V168" s="26"/>
      <c r="W168" s="27"/>
      <c r="X168" s="27"/>
      <c r="Y168" s="28"/>
      <c r="Z168" s="28"/>
      <c r="AA168" s="28"/>
      <c r="AB168" s="29"/>
      <c r="AC168" s="30"/>
      <c r="AD168" s="31"/>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41"/>
    </row>
    <row r="169" spans="1:59" s="5" customFormat="1" ht="12.75">
      <c r="A169" s="42">
        <v>74</v>
      </c>
      <c r="B169" s="23" t="s">
        <v>1790</v>
      </c>
      <c r="C169" s="132" t="s">
        <v>0</v>
      </c>
      <c r="D169" s="44" t="s">
        <v>1</v>
      </c>
      <c r="E169" s="98">
        <f>TEChuilelourde</f>
        <v>0.035</v>
      </c>
      <c r="F169" s="133"/>
      <c r="G169" s="435" t="s">
        <v>2</v>
      </c>
      <c r="H169" s="23" t="s">
        <v>3</v>
      </c>
      <c r="I169" s="92">
        <f>VFFOD</f>
        <v>24.98</v>
      </c>
      <c r="J169" s="44" t="s">
        <v>4</v>
      </c>
      <c r="K169" s="166">
        <f>ROUND(I169*TEChuilelourde,2)</f>
        <v>0.87</v>
      </c>
      <c r="L169" s="133"/>
      <c r="M169" s="152" t="s">
        <v>5</v>
      </c>
      <c r="N169" s="153"/>
      <c r="O169" s="154" t="str">
        <f>P</f>
        <v>. . .</v>
      </c>
      <c r="P169" s="92" t="str">
        <f>P</f>
        <v>. . .</v>
      </c>
      <c r="Q169" s="137">
        <f>TVAGAZOLAUTREMETRO</f>
        <v>5.16852</v>
      </c>
      <c r="R169" s="393">
        <f>TVAGAZOLAUTRECORSE</f>
        <v>3.4281</v>
      </c>
      <c r="S169" s="409"/>
      <c r="T169" s="7"/>
      <c r="U169" s="8"/>
      <c r="V169" s="383"/>
      <c r="W169" s="195">
        <v>5967</v>
      </c>
      <c r="X169" s="195"/>
      <c r="Y169" s="28">
        <v>4012</v>
      </c>
      <c r="Z169" s="28">
        <v>9301</v>
      </c>
      <c r="AA169" s="28"/>
      <c r="AB169" s="29"/>
      <c r="AC169" s="30"/>
      <c r="AD169" s="31"/>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41"/>
    </row>
    <row r="170" spans="1:59" s="5" customFormat="1" ht="12.75">
      <c r="A170" s="42">
        <v>75</v>
      </c>
      <c r="B170" s="23" t="s">
        <v>6</v>
      </c>
      <c r="C170" s="132" t="s">
        <v>7</v>
      </c>
      <c r="D170" s="44" t="s">
        <v>8</v>
      </c>
      <c r="E170" s="98">
        <f>TEChuilelourde</f>
        <v>0.035</v>
      </c>
      <c r="F170" s="133"/>
      <c r="G170" s="435" t="s">
        <v>9</v>
      </c>
      <c r="H170" s="23" t="s">
        <v>10</v>
      </c>
      <c r="I170" s="92">
        <f>VFFOD</f>
        <v>24.98</v>
      </c>
      <c r="J170" s="44" t="s">
        <v>11</v>
      </c>
      <c r="K170" s="166">
        <f>ROUND(I170*TEChuilelourde,2)</f>
        <v>0.87</v>
      </c>
      <c r="L170" s="133"/>
      <c r="M170" s="152">
        <f>TIGO</f>
        <v>41.69</v>
      </c>
      <c r="N170" s="153"/>
      <c r="O170" s="154" t="str">
        <f>P</f>
        <v>. . .</v>
      </c>
      <c r="P170" s="92" t="str">
        <f>"(18)"</f>
        <v>(18)</v>
      </c>
      <c r="Q170" s="137">
        <f>SUM(I170:P170)*19.6%</f>
        <v>13.237839999999998</v>
      </c>
      <c r="R170" s="393">
        <f>SUM(I170:P170)*13%</f>
        <v>8.780199999999999</v>
      </c>
      <c r="S170" s="23"/>
      <c r="T170" s="24">
        <v>5712</v>
      </c>
      <c r="U170" s="25"/>
      <c r="V170" s="159">
        <v>5732</v>
      </c>
      <c r="W170" s="195">
        <v>5934</v>
      </c>
      <c r="X170" s="195"/>
      <c r="Y170" s="28">
        <v>9197</v>
      </c>
      <c r="Z170" s="28">
        <v>9306</v>
      </c>
      <c r="AA170" s="161">
        <v>9301</v>
      </c>
      <c r="AB170" s="29"/>
      <c r="AC170" s="30"/>
      <c r="AD170" s="486"/>
      <c r="AE170" s="392"/>
      <c r="AF170" s="392"/>
      <c r="AG170" s="392"/>
      <c r="AH170" s="392"/>
      <c r="AI170" s="392"/>
      <c r="AJ170" s="392"/>
      <c r="AK170" s="392"/>
      <c r="AL170" s="392"/>
      <c r="AM170" s="392"/>
      <c r="AN170" s="392"/>
      <c r="AO170" s="392"/>
      <c r="AP170" s="392"/>
      <c r="AQ170" s="392"/>
      <c r="AR170" s="392"/>
      <c r="AS170" s="392"/>
      <c r="AT170" s="392"/>
      <c r="AU170" s="392"/>
      <c r="AV170" s="392"/>
      <c r="AW170" s="392"/>
      <c r="AX170" s="392"/>
      <c r="AY170" s="392"/>
      <c r="AZ170" s="392"/>
      <c r="BA170" s="392"/>
      <c r="BB170" s="392"/>
      <c r="BC170" s="392"/>
      <c r="BD170" s="392"/>
      <c r="BE170" s="392"/>
      <c r="BF170" s="392"/>
      <c r="BG170" s="391"/>
    </row>
    <row r="171" spans="1:59" ht="12.75">
      <c r="A171" s="42"/>
      <c r="B171" s="23"/>
      <c r="C171" s="132"/>
      <c r="D171" s="44"/>
      <c r="E171" s="98"/>
      <c r="F171" s="133"/>
      <c r="G171" s="429"/>
      <c r="H171" s="431"/>
      <c r="I171" s="44"/>
      <c r="J171" s="44"/>
      <c r="K171" s="225"/>
      <c r="L171" s="134"/>
      <c r="M171" s="152"/>
      <c r="N171" s="153"/>
      <c r="O171" s="154"/>
      <c r="P171" s="92"/>
      <c r="Q171" s="155"/>
      <c r="R171" s="156"/>
      <c r="S171" s="166"/>
      <c r="T171" s="24"/>
      <c r="U171" s="25"/>
      <c r="V171" s="26"/>
      <c r="W171" s="27"/>
      <c r="X171" s="27"/>
      <c r="Y171" s="28"/>
      <c r="Z171" s="28"/>
      <c r="AA171" s="28"/>
      <c r="AB171" s="29"/>
      <c r="AC171" s="30"/>
      <c r="AD171" s="486"/>
      <c r="AE171" s="392"/>
      <c r="AF171" s="392"/>
      <c r="AG171" s="392"/>
      <c r="AH171" s="392"/>
      <c r="AI171" s="392"/>
      <c r="AJ171" s="392"/>
      <c r="AK171" s="392"/>
      <c r="AL171" s="392"/>
      <c r="AM171" s="392"/>
      <c r="AN171" s="392"/>
      <c r="AO171" s="392"/>
      <c r="AP171" s="392"/>
      <c r="AQ171" s="392"/>
      <c r="AR171" s="392"/>
      <c r="AS171" s="392"/>
      <c r="AT171" s="392"/>
      <c r="AU171" s="392"/>
      <c r="AV171" s="392"/>
      <c r="AW171" s="392"/>
      <c r="AX171" s="392"/>
      <c r="AY171" s="392"/>
      <c r="AZ171" s="392"/>
      <c r="BA171" s="392"/>
      <c r="BB171" s="392"/>
      <c r="BC171" s="392"/>
      <c r="BD171" s="392"/>
      <c r="BE171" s="392"/>
      <c r="BF171" s="392"/>
      <c r="BG171" s="391"/>
    </row>
    <row r="172" spans="1:59" ht="12.75">
      <c r="A172" s="42"/>
      <c r="B172" s="23"/>
      <c r="C172" s="251" t="s">
        <v>12</v>
      </c>
      <c r="D172" s="44"/>
      <c r="E172" s="98"/>
      <c r="F172" s="133"/>
      <c r="G172" s="429"/>
      <c r="H172" s="431"/>
      <c r="I172" s="92"/>
      <c r="J172" s="44"/>
      <c r="K172" s="134"/>
      <c r="L172" s="134"/>
      <c r="M172" s="152"/>
      <c r="N172" s="153"/>
      <c r="O172" s="154"/>
      <c r="P172" s="155"/>
      <c r="Q172" s="137"/>
      <c r="R172" s="138"/>
      <c r="S172" s="409"/>
      <c r="T172" s="24"/>
      <c r="U172" s="25"/>
      <c r="V172" s="26"/>
      <c r="W172" s="27"/>
      <c r="X172" s="27"/>
      <c r="Y172" s="28"/>
      <c r="Z172" s="28"/>
      <c r="AA172" s="28"/>
      <c r="AB172" s="29"/>
      <c r="AC172" s="30"/>
      <c r="AD172" s="31"/>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41"/>
    </row>
    <row r="173" spans="1:59" ht="12.75">
      <c r="A173" s="42">
        <v>76</v>
      </c>
      <c r="B173" s="23" t="s">
        <v>13</v>
      </c>
      <c r="C173" s="132" t="s">
        <v>14</v>
      </c>
      <c r="D173" s="44" t="str">
        <f>P</f>
        <v>. . .</v>
      </c>
      <c r="E173" s="98" t="s">
        <v>15</v>
      </c>
      <c r="F173" s="133"/>
      <c r="G173" s="429" t="s">
        <v>16</v>
      </c>
      <c r="H173" s="101" t="s">
        <v>17</v>
      </c>
      <c r="I173" s="44" t="str">
        <f>R</f>
        <v>Réelle</v>
      </c>
      <c r="J173" s="44" t="s">
        <v>18</v>
      </c>
      <c r="K173" s="225" t="s">
        <v>19</v>
      </c>
      <c r="L173" s="134"/>
      <c r="M173" s="152" t="str">
        <f>"(3)"</f>
        <v>(3)</v>
      </c>
      <c r="N173" s="153"/>
      <c r="O173" s="154" t="str">
        <f>P</f>
        <v>. . .</v>
      </c>
      <c r="P173" s="155" t="str">
        <f>"(3)"</f>
        <v>(3)</v>
      </c>
      <c r="Q173" s="155" t="str">
        <f>"(3)"</f>
        <v>(3)</v>
      </c>
      <c r="R173" s="156" t="str">
        <f>"(3)"</f>
        <v>(3)</v>
      </c>
      <c r="S173" s="409"/>
      <c r="W173" s="160" t="str">
        <f>t</f>
        <v>TVO</v>
      </c>
      <c r="X173" s="160">
        <v>5930</v>
      </c>
      <c r="Y173" s="161">
        <v>9052</v>
      </c>
      <c r="Z173" s="161">
        <v>9301</v>
      </c>
      <c r="AA173" s="28"/>
      <c r="AB173" s="29"/>
      <c r="AC173" s="30"/>
      <c r="AD173" s="31"/>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41"/>
    </row>
    <row r="174" spans="1:59" ht="12.75">
      <c r="A174" s="42">
        <v>77</v>
      </c>
      <c r="B174" s="487" t="s">
        <v>20</v>
      </c>
      <c r="C174" s="132" t="s">
        <v>21</v>
      </c>
      <c r="D174" s="44"/>
      <c r="E174" s="430"/>
      <c r="F174" s="133"/>
      <c r="G174" s="429"/>
      <c r="H174" s="101"/>
      <c r="I174" s="92"/>
      <c r="J174" s="44"/>
      <c r="K174" s="432"/>
      <c r="L174" s="134"/>
      <c r="M174" s="152"/>
      <c r="N174" s="153"/>
      <c r="O174" s="154"/>
      <c r="P174" s="92"/>
      <c r="Q174" s="137"/>
      <c r="R174" s="138"/>
      <c r="S174" s="23"/>
      <c r="T174" s="24"/>
      <c r="U174" s="25"/>
      <c r="V174" s="26"/>
      <c r="W174" s="27"/>
      <c r="X174" s="27"/>
      <c r="Y174" s="28"/>
      <c r="Z174" s="28"/>
      <c r="AA174" s="28"/>
      <c r="AB174" s="29"/>
      <c r="AC174" s="30"/>
      <c r="AD174" s="486"/>
      <c r="AE174" s="392"/>
      <c r="AF174" s="392"/>
      <c r="AG174" s="392"/>
      <c r="AH174" s="392"/>
      <c r="AI174" s="392"/>
      <c r="AJ174" s="392"/>
      <c r="AK174" s="392"/>
      <c r="AL174" s="392"/>
      <c r="AM174" s="392"/>
      <c r="AN174" s="392"/>
      <c r="AO174" s="392"/>
      <c r="AP174" s="392"/>
      <c r="AQ174" s="392"/>
      <c r="AR174" s="392"/>
      <c r="AS174" s="392"/>
      <c r="AT174" s="392"/>
      <c r="AU174" s="392"/>
      <c r="AV174" s="392"/>
      <c r="AW174" s="392"/>
      <c r="AX174" s="392"/>
      <c r="AY174" s="392"/>
      <c r="AZ174" s="392"/>
      <c r="BA174" s="392"/>
      <c r="BB174" s="392"/>
      <c r="BC174" s="392"/>
      <c r="BD174" s="392"/>
      <c r="BE174" s="392"/>
      <c r="BF174" s="392"/>
      <c r="BG174" s="391"/>
    </row>
    <row r="175" spans="1:59" ht="12.75">
      <c r="A175" s="42"/>
      <c r="B175" s="23"/>
      <c r="C175" s="132" t="s">
        <v>22</v>
      </c>
      <c r="D175" s="44" t="str">
        <f>P</f>
        <v>. . .</v>
      </c>
      <c r="E175" s="98" t="s">
        <v>23</v>
      </c>
      <c r="F175" s="133"/>
      <c r="G175" s="429" t="s">
        <v>24</v>
      </c>
      <c r="H175" s="101" t="s">
        <v>25</v>
      </c>
      <c r="I175" s="44" t="str">
        <f>R</f>
        <v>Réelle</v>
      </c>
      <c r="J175" s="44" t="s">
        <v>26</v>
      </c>
      <c r="K175" s="225" t="s">
        <v>27</v>
      </c>
      <c r="L175" s="134"/>
      <c r="M175" s="152" t="str">
        <f>"(3)"</f>
        <v>(3)</v>
      </c>
      <c r="N175" s="153"/>
      <c r="O175" s="154" t="str">
        <f>P</f>
        <v>. . .</v>
      </c>
      <c r="P175" s="155" t="str">
        <f>"(3)"</f>
        <v>(3)</v>
      </c>
      <c r="Q175" s="155" t="str">
        <f>"(3)"</f>
        <v>(3)</v>
      </c>
      <c r="R175" s="156" t="str">
        <f>"(3)"</f>
        <v>(3)</v>
      </c>
      <c r="S175" s="409"/>
      <c r="W175" s="160" t="str">
        <f>t</f>
        <v>TVO</v>
      </c>
      <c r="X175" s="160">
        <v>5930</v>
      </c>
      <c r="Y175" s="161">
        <v>9052</v>
      </c>
      <c r="Z175" s="161">
        <v>9301</v>
      </c>
      <c r="AA175" s="28"/>
      <c r="AB175" s="29"/>
      <c r="AC175" s="30"/>
      <c r="AD175" s="31"/>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41"/>
    </row>
    <row r="176" spans="1:59" ht="12.75">
      <c r="A176" s="197"/>
      <c r="B176" s="198"/>
      <c r="C176" s="488" t="s">
        <v>28</v>
      </c>
      <c r="D176" s="205"/>
      <c r="E176" s="201"/>
      <c r="F176" s="202"/>
      <c r="G176" s="489"/>
      <c r="H176" s="439"/>
      <c r="I176" s="210"/>
      <c r="J176" s="205"/>
      <c r="K176" s="206"/>
      <c r="L176" s="206"/>
      <c r="M176" s="207"/>
      <c r="N176" s="208"/>
      <c r="O176" s="209"/>
      <c r="P176" s="490"/>
      <c r="Q176" s="440"/>
      <c r="R176" s="441"/>
      <c r="S176" s="409"/>
      <c r="T176" s="24"/>
      <c r="U176" s="25"/>
      <c r="V176" s="26"/>
      <c r="W176" s="27"/>
      <c r="X176" s="27"/>
      <c r="Y176" s="28"/>
      <c r="Z176" s="28"/>
      <c r="AA176" s="161"/>
      <c r="AB176" s="29"/>
      <c r="AC176" s="30"/>
      <c r="AD176" s="31"/>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41"/>
    </row>
    <row r="177" spans="1:59" ht="12.75">
      <c r="A177" s="43"/>
      <c r="B177" s="23"/>
      <c r="C177" s="23"/>
      <c r="D177" s="43"/>
      <c r="E177" s="98"/>
      <c r="F177" s="133"/>
      <c r="G177" s="431"/>
      <c r="H177" s="431"/>
      <c r="I177" s="154"/>
      <c r="J177" s="43"/>
      <c r="K177" s="134"/>
      <c r="L177" s="134"/>
      <c r="M177" s="166"/>
      <c r="N177" s="166"/>
      <c r="O177" s="154"/>
      <c r="P177" s="166"/>
      <c r="Q177" s="133"/>
      <c r="R177" s="409"/>
      <c r="S177" s="166"/>
      <c r="T177" s="491"/>
      <c r="U177" s="492"/>
      <c r="V177" s="159"/>
      <c r="W177" s="160"/>
      <c r="X177" s="160"/>
      <c r="Y177" s="161"/>
      <c r="Z177" s="161"/>
      <c r="AA177" s="28"/>
      <c r="AB177" s="29"/>
      <c r="AC177" s="30"/>
      <c r="AD177" s="31"/>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41"/>
    </row>
    <row r="178" spans="1:59" ht="12.75">
      <c r="A178" s="212"/>
      <c r="B178" s="213"/>
      <c r="C178" s="493" t="s">
        <v>29</v>
      </c>
      <c r="D178" s="53"/>
      <c r="E178" s="216"/>
      <c r="F178" s="217"/>
      <c r="G178" s="494"/>
      <c r="H178" s="460"/>
      <c r="I178" s="71"/>
      <c r="J178" s="53"/>
      <c r="K178" s="218"/>
      <c r="L178" s="218"/>
      <c r="M178" s="219"/>
      <c r="N178" s="220"/>
      <c r="O178" s="221"/>
      <c r="P178" s="222"/>
      <c r="Q178" s="413"/>
      <c r="R178" s="414"/>
      <c r="S178" s="23"/>
      <c r="T178" s="24"/>
      <c r="U178" s="25"/>
      <c r="V178" s="26"/>
      <c r="W178" s="27"/>
      <c r="X178" s="27"/>
      <c r="Y178" s="28"/>
      <c r="Z178" s="28"/>
      <c r="AA178" s="161"/>
      <c r="AB178" s="29"/>
      <c r="AC178" s="30"/>
      <c r="AD178" s="31"/>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41"/>
    </row>
    <row r="179" spans="1:60" s="5" customFormat="1" ht="12.75">
      <c r="A179" s="42">
        <v>78</v>
      </c>
      <c r="B179" s="23" t="s">
        <v>30</v>
      </c>
      <c r="C179" s="86" t="s">
        <v>31</v>
      </c>
      <c r="D179" s="44" t="str">
        <f>P</f>
        <v>. . .</v>
      </c>
      <c r="E179" s="430">
        <f>TEChuilelourde</f>
        <v>0.035</v>
      </c>
      <c r="F179" s="133"/>
      <c r="G179" s="435" t="s">
        <v>32</v>
      </c>
      <c r="H179" s="23" t="s">
        <v>33</v>
      </c>
      <c r="I179" s="92">
        <f>VFFOD</f>
        <v>24.98</v>
      </c>
      <c r="J179" s="44" t="s">
        <v>34</v>
      </c>
      <c r="K179" s="436">
        <f>ROUND(I179*TEChuilelourde,2)</f>
        <v>0.87</v>
      </c>
      <c r="L179" s="133"/>
      <c r="M179" s="152">
        <f>TIGO</f>
        <v>41.69</v>
      </c>
      <c r="N179" s="153"/>
      <c r="O179" s="154" t="str">
        <f>P</f>
        <v>. . .</v>
      </c>
      <c r="P179" s="92" t="s">
        <v>35</v>
      </c>
      <c r="Q179" s="155">
        <f>TVAGOMETRO</f>
        <v>13.339760000000002</v>
      </c>
      <c r="R179" s="156">
        <f>TVAGOCORSE</f>
        <v>8.847800000000001</v>
      </c>
      <c r="S179" s="409"/>
      <c r="T179" s="353">
        <v>5712</v>
      </c>
      <c r="U179" s="354"/>
      <c r="V179" s="9"/>
      <c r="W179" s="351">
        <v>5938</v>
      </c>
      <c r="X179" s="351"/>
      <c r="Y179" s="11">
        <v>9301</v>
      </c>
      <c r="Z179" s="11"/>
      <c r="AA179" s="28"/>
      <c r="AB179" s="29"/>
      <c r="AC179" s="30"/>
      <c r="AD179" s="30"/>
      <c r="AE179" s="31"/>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41"/>
    </row>
    <row r="180" spans="1:59" ht="12.75">
      <c r="A180" s="347">
        <v>79</v>
      </c>
      <c r="B180" s="23" t="s">
        <v>36</v>
      </c>
      <c r="C180" s="91" t="s">
        <v>37</v>
      </c>
      <c r="D180" s="44"/>
      <c r="E180" s="430"/>
      <c r="F180" s="133"/>
      <c r="G180" s="429"/>
      <c r="H180" s="431"/>
      <c r="I180" s="92"/>
      <c r="J180" s="44"/>
      <c r="K180" s="437"/>
      <c r="L180" s="134"/>
      <c r="M180" s="152"/>
      <c r="N180" s="153"/>
      <c r="O180" s="154"/>
      <c r="P180" s="92"/>
      <c r="Q180" s="155"/>
      <c r="R180" s="156"/>
      <c r="S180" s="23"/>
      <c r="W180" s="351"/>
      <c r="X180" s="351"/>
      <c r="AA180" s="161"/>
      <c r="AB180" s="29"/>
      <c r="AC180" s="30"/>
      <c r="AD180" s="31"/>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41"/>
    </row>
    <row r="181" spans="1:92" s="495" customFormat="1" ht="12.75">
      <c r="A181" s="347"/>
      <c r="B181" s="23"/>
      <c r="C181" s="91" t="s">
        <v>38</v>
      </c>
      <c r="D181" s="44" t="str">
        <f>P</f>
        <v>. . .</v>
      </c>
      <c r="E181" s="430">
        <f>TEChuilelourde</f>
        <v>0.035</v>
      </c>
      <c r="F181" s="133"/>
      <c r="G181" s="429" t="s">
        <v>39</v>
      </c>
      <c r="H181" s="431" t="s">
        <v>40</v>
      </c>
      <c r="I181" s="92">
        <f>VFBS</f>
        <v>15.47</v>
      </c>
      <c r="J181" s="44" t="s">
        <v>41</v>
      </c>
      <c r="K181" s="437">
        <f>ROUND(I181*TEChuilelourde,2)</f>
        <v>0.54</v>
      </c>
      <c r="L181" s="134"/>
      <c r="M181" s="152" t="s">
        <v>42</v>
      </c>
      <c r="N181" s="153"/>
      <c r="O181" s="154" t="str">
        <f>P</f>
        <v>. . .</v>
      </c>
      <c r="P181" s="92" t="str">
        <f>P</f>
        <v>. . .</v>
      </c>
      <c r="Q181" s="155">
        <f>TVAFLBTSAUTREMETRO</f>
        <v>3.1379600000000005</v>
      </c>
      <c r="R181" s="156">
        <f>TVAFLBTSAUTRECORSE</f>
        <v>2.0813</v>
      </c>
      <c r="S181" s="23"/>
      <c r="T181" s="7"/>
      <c r="U181" s="8"/>
      <c r="V181" s="9"/>
      <c r="W181" s="351">
        <v>5929</v>
      </c>
      <c r="X181" s="351"/>
      <c r="Y181" s="11">
        <v>9305</v>
      </c>
      <c r="Z181" s="11">
        <v>9301</v>
      </c>
      <c r="AA181" s="161"/>
      <c r="AB181" s="29"/>
      <c r="AC181" s="30"/>
      <c r="AD181" s="31"/>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41"/>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row>
    <row r="182" spans="1:59" ht="12.75">
      <c r="A182" s="42">
        <v>80</v>
      </c>
      <c r="B182" s="23" t="s">
        <v>43</v>
      </c>
      <c r="C182" s="86" t="s">
        <v>44</v>
      </c>
      <c r="D182" s="44" t="s">
        <v>45</v>
      </c>
      <c r="E182" s="430">
        <f>TEChuilelourde</f>
        <v>0.035</v>
      </c>
      <c r="F182" s="133"/>
      <c r="G182" s="429"/>
      <c r="H182" s="431"/>
      <c r="I182" s="92">
        <f>VFBS</f>
        <v>15.47</v>
      </c>
      <c r="J182" s="44" t="s">
        <v>46</v>
      </c>
      <c r="K182" s="437">
        <f>ROUND(I182*TEChuilelourde,2)</f>
        <v>0.54</v>
      </c>
      <c r="L182" s="134"/>
      <c r="M182" s="152">
        <f>TIFBTS</f>
        <v>1.85</v>
      </c>
      <c r="N182" s="153"/>
      <c r="O182" s="154" t="str">
        <f>P</f>
        <v>. . .</v>
      </c>
      <c r="P182" s="92" t="str">
        <f>"(18)"</f>
        <v>(18)</v>
      </c>
      <c r="Q182" s="155">
        <f>SUM(I182:P182)*19.6%</f>
        <v>3.5005600000000006</v>
      </c>
      <c r="R182" s="156">
        <f>SUM(I182:P182)*13%</f>
        <v>2.3218000000000005</v>
      </c>
      <c r="S182" s="41"/>
      <c r="T182" s="157">
        <v>5704</v>
      </c>
      <c r="U182" s="158"/>
      <c r="V182" s="159">
        <v>5733</v>
      </c>
      <c r="W182" s="167">
        <v>5948</v>
      </c>
      <c r="X182" s="167"/>
      <c r="Y182" s="161">
        <v>9301</v>
      </c>
      <c r="Z182" s="161"/>
      <c r="AB182" s="29"/>
      <c r="AC182" s="30"/>
      <c r="AD182" s="31"/>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41"/>
    </row>
    <row r="183" spans="1:59" ht="12.75">
      <c r="A183" s="42">
        <v>81</v>
      </c>
      <c r="B183" s="23" t="s">
        <v>47</v>
      </c>
      <c r="C183" s="86" t="s">
        <v>48</v>
      </c>
      <c r="D183" s="44" t="str">
        <f>P</f>
        <v>. . .</v>
      </c>
      <c r="E183" s="98">
        <f>TEChuilelourde</f>
        <v>0.035</v>
      </c>
      <c r="F183" s="133"/>
      <c r="G183" s="429" t="s">
        <v>49</v>
      </c>
      <c r="H183" s="431" t="s">
        <v>50</v>
      </c>
      <c r="I183" s="92">
        <f>VFBS</f>
        <v>15.47</v>
      </c>
      <c r="J183" s="44" t="s">
        <v>51</v>
      </c>
      <c r="K183" s="223">
        <f>ROUND(I183*TEChuilelourde,2)</f>
        <v>0.54</v>
      </c>
      <c r="L183" s="134"/>
      <c r="M183" s="152" t="s">
        <v>52</v>
      </c>
      <c r="N183" s="153"/>
      <c r="O183" s="154" t="str">
        <f>P</f>
        <v>. . .</v>
      </c>
      <c r="P183" s="92" t="s">
        <v>53</v>
      </c>
      <c r="Q183" s="155">
        <f>SUM(I183:P183)*19.6%</f>
        <v>3.1379600000000005</v>
      </c>
      <c r="R183" s="156">
        <f>SUM(I183:P183)*13%</f>
        <v>2.0813</v>
      </c>
      <c r="S183" s="41"/>
      <c r="W183" s="167">
        <v>5929</v>
      </c>
      <c r="X183" s="167"/>
      <c r="Y183" s="161">
        <v>4012</v>
      </c>
      <c r="Z183" s="161">
        <v>9301</v>
      </c>
      <c r="AB183" s="29"/>
      <c r="AC183" s="30"/>
      <c r="AD183" s="31"/>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41"/>
    </row>
    <row r="184" spans="1:59" ht="12.75">
      <c r="A184" s="42"/>
      <c r="B184" s="23"/>
      <c r="C184" s="86"/>
      <c r="D184" s="278"/>
      <c r="E184" s="279"/>
      <c r="F184" s="250"/>
      <c r="G184" s="280"/>
      <c r="H184" s="280"/>
      <c r="I184" s="275"/>
      <c r="J184" s="275"/>
      <c r="K184" s="281"/>
      <c r="L184" s="281"/>
      <c r="M184" s="282"/>
      <c r="N184" s="283"/>
      <c r="O184" s="284"/>
      <c r="P184" s="275"/>
      <c r="Q184" s="285"/>
      <c r="R184" s="286"/>
      <c r="S184" s="41"/>
      <c r="T184" s="157"/>
      <c r="U184" s="158"/>
      <c r="V184" s="159"/>
      <c r="W184" s="160"/>
      <c r="X184" s="160"/>
      <c r="Y184" s="161"/>
      <c r="Z184" s="161"/>
      <c r="AB184" s="29"/>
      <c r="AC184" s="30"/>
      <c r="AD184" s="31"/>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41"/>
    </row>
    <row r="185" spans="1:59" ht="12.75">
      <c r="A185" s="42"/>
      <c r="B185" s="23"/>
      <c r="C185" s="86" t="s">
        <v>54</v>
      </c>
      <c r="D185" s="45"/>
      <c r="E185" s="98"/>
      <c r="F185" s="133"/>
      <c r="G185" s="429"/>
      <c r="H185" s="431"/>
      <c r="I185" s="92"/>
      <c r="J185" s="44"/>
      <c r="K185" s="223"/>
      <c r="L185" s="134"/>
      <c r="M185" s="152"/>
      <c r="N185" s="153"/>
      <c r="O185" s="154"/>
      <c r="P185" s="92"/>
      <c r="Q185" s="155"/>
      <c r="R185" s="156"/>
      <c r="S185" s="41"/>
      <c r="T185" s="157"/>
      <c r="U185" s="158"/>
      <c r="V185" s="159"/>
      <c r="W185" s="160"/>
      <c r="X185" s="160"/>
      <c r="Y185" s="161"/>
      <c r="Z185" s="161"/>
      <c r="AA185" s="161"/>
      <c r="AB185" s="29"/>
      <c r="AC185" s="30"/>
      <c r="AD185" s="31"/>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41"/>
    </row>
    <row r="186" spans="1:92" s="497" customFormat="1" ht="12.75">
      <c r="A186" s="42">
        <v>82</v>
      </c>
      <c r="B186" s="23" t="s">
        <v>55</v>
      </c>
      <c r="C186" s="86" t="s">
        <v>56</v>
      </c>
      <c r="D186" s="44" t="str">
        <f>P</f>
        <v>. . .</v>
      </c>
      <c r="E186" s="430">
        <f>TEChuilelourde</f>
        <v>0.035</v>
      </c>
      <c r="F186" s="133"/>
      <c r="G186" s="435" t="s">
        <v>57</v>
      </c>
      <c r="H186" s="23" t="s">
        <v>58</v>
      </c>
      <c r="I186" s="92">
        <f>VFFOD</f>
        <v>24.98</v>
      </c>
      <c r="J186" s="44" t="s">
        <v>59</v>
      </c>
      <c r="K186" s="436">
        <f>ROUND(I186*TEChuilelourde,2)</f>
        <v>0.87</v>
      </c>
      <c r="L186" s="133"/>
      <c r="M186" s="152">
        <f>TIGO</f>
        <v>41.69</v>
      </c>
      <c r="N186" s="153"/>
      <c r="O186" s="154" t="str">
        <f>P</f>
        <v>. . .</v>
      </c>
      <c r="P186" s="92" t="s">
        <v>60</v>
      </c>
      <c r="Q186" s="155">
        <f>TVAGOMETRO</f>
        <v>13.339760000000002</v>
      </c>
      <c r="R186" s="156">
        <f>TVAGOCORSE</f>
        <v>8.847800000000001</v>
      </c>
      <c r="S186" s="496"/>
      <c r="T186" s="24">
        <v>5712</v>
      </c>
      <c r="U186" s="25"/>
      <c r="V186" s="9"/>
      <c r="W186" s="195">
        <v>5938</v>
      </c>
      <c r="X186" s="195"/>
      <c r="Y186" s="28">
        <v>9301</v>
      </c>
      <c r="Z186" s="28"/>
      <c r="AA186" s="161"/>
      <c r="AB186" s="29"/>
      <c r="AC186" s="30"/>
      <c r="AD186" s="31"/>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41"/>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row>
    <row r="187" spans="1:59" ht="12.75">
      <c r="A187" s="347">
        <v>83</v>
      </c>
      <c r="B187" s="23" t="s">
        <v>61</v>
      </c>
      <c r="C187" s="91" t="s">
        <v>62</v>
      </c>
      <c r="D187" s="44"/>
      <c r="E187" s="430"/>
      <c r="F187" s="133"/>
      <c r="G187" s="429"/>
      <c r="H187" s="431"/>
      <c r="I187" s="92"/>
      <c r="J187" s="44"/>
      <c r="K187" s="437"/>
      <c r="L187" s="134"/>
      <c r="M187" s="152"/>
      <c r="N187" s="153"/>
      <c r="O187" s="154"/>
      <c r="P187" s="92"/>
      <c r="Q187" s="155"/>
      <c r="R187" s="156"/>
      <c r="S187" s="23"/>
      <c r="W187" s="167"/>
      <c r="X187" s="167"/>
      <c r="Y187" s="161"/>
      <c r="Z187" s="498"/>
      <c r="AB187" s="29"/>
      <c r="AC187" s="30"/>
      <c r="AD187" s="31"/>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41"/>
    </row>
    <row r="188" spans="1:92" s="495" customFormat="1" ht="12.75">
      <c r="A188" s="347"/>
      <c r="B188" s="23"/>
      <c r="C188" s="91" t="s">
        <v>63</v>
      </c>
      <c r="D188" s="44" t="str">
        <f>P</f>
        <v>. . .</v>
      </c>
      <c r="E188" s="430">
        <f>TEChuilelourde</f>
        <v>0.035</v>
      </c>
      <c r="F188" s="133"/>
      <c r="G188" s="429" t="s">
        <v>64</v>
      </c>
      <c r="H188" s="431" t="s">
        <v>65</v>
      </c>
      <c r="I188" s="92">
        <f>VFBS</f>
        <v>15.47</v>
      </c>
      <c r="J188" s="44" t="s">
        <v>66</v>
      </c>
      <c r="K188" s="437">
        <f>ROUND(I188*TEChuilelourde,2)</f>
        <v>0.54</v>
      </c>
      <c r="L188" s="134"/>
      <c r="M188" s="152" t="s">
        <v>67</v>
      </c>
      <c r="N188" s="153"/>
      <c r="O188" s="154" t="str">
        <f>P</f>
        <v>. . .</v>
      </c>
      <c r="P188" s="92" t="str">
        <f>P</f>
        <v>. . .</v>
      </c>
      <c r="Q188" s="155">
        <f>TVAFLBTSAUTREMETRO</f>
        <v>3.1379600000000005</v>
      </c>
      <c r="R188" s="156">
        <f>TVAFLBTSAUTRECORSE</f>
        <v>2.0813</v>
      </c>
      <c r="S188" s="23"/>
      <c r="T188" s="7"/>
      <c r="U188" s="8"/>
      <c r="V188" s="9"/>
      <c r="W188" s="167">
        <v>5929</v>
      </c>
      <c r="X188" s="167"/>
      <c r="Y188" s="161">
        <v>9305</v>
      </c>
      <c r="Z188" s="161">
        <v>9301</v>
      </c>
      <c r="AA188" s="11"/>
      <c r="AB188" s="29"/>
      <c r="AC188" s="30"/>
      <c r="AD188" s="31"/>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41"/>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row>
    <row r="189" spans="1:59" ht="12.75">
      <c r="A189" s="42">
        <v>84</v>
      </c>
      <c r="B189" s="23" t="s">
        <v>68</v>
      </c>
      <c r="C189" s="86" t="s">
        <v>69</v>
      </c>
      <c r="D189" s="44" t="s">
        <v>70</v>
      </c>
      <c r="E189" s="430">
        <f>TEChuilelourde</f>
        <v>0.035</v>
      </c>
      <c r="F189" s="133"/>
      <c r="G189" s="429"/>
      <c r="H189" s="431"/>
      <c r="I189" s="92">
        <f>VFBS</f>
        <v>15.47</v>
      </c>
      <c r="J189" s="44" t="s">
        <v>71</v>
      </c>
      <c r="K189" s="437">
        <f>ROUND(I189*TEChuilelourde,2)</f>
        <v>0.54</v>
      </c>
      <c r="L189" s="134"/>
      <c r="M189" s="152">
        <f>TIFBTS</f>
        <v>1.85</v>
      </c>
      <c r="N189" s="153"/>
      <c r="O189" s="154" t="str">
        <f>P</f>
        <v>. . .</v>
      </c>
      <c r="P189" s="92" t="str">
        <f>"(18)"</f>
        <v>(18)</v>
      </c>
      <c r="Q189" s="155">
        <f>TVAFLBTSMETRO</f>
        <v>3.5005600000000006</v>
      </c>
      <c r="R189" s="196">
        <f>TVAFLBTSCORSE</f>
        <v>2.3218000000000005</v>
      </c>
      <c r="S189" s="166"/>
      <c r="T189" s="157">
        <v>5704</v>
      </c>
      <c r="U189" s="158"/>
      <c r="V189" s="159">
        <v>5733</v>
      </c>
      <c r="W189" s="167">
        <v>5948</v>
      </c>
      <c r="X189" s="167"/>
      <c r="Y189" s="161">
        <v>9301</v>
      </c>
      <c r="Z189" s="161"/>
      <c r="AA189" s="498"/>
      <c r="AB189" s="29"/>
      <c r="AC189" s="30"/>
      <c r="AD189" s="31"/>
      <c r="AE189" s="32"/>
      <c r="AF189" s="32"/>
      <c r="AG189" s="32"/>
      <c r="AH189" s="229"/>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41"/>
    </row>
    <row r="190" spans="1:59" ht="12.75">
      <c r="A190" s="42">
        <v>85</v>
      </c>
      <c r="B190" s="23" t="s">
        <v>72</v>
      </c>
      <c r="C190" s="86" t="s">
        <v>73</v>
      </c>
      <c r="D190" s="44" t="str">
        <f>P</f>
        <v>. . .</v>
      </c>
      <c r="E190" s="98">
        <f>TEChuilelourde</f>
        <v>0.035</v>
      </c>
      <c r="F190" s="133"/>
      <c r="G190" s="429" t="s">
        <v>74</v>
      </c>
      <c r="H190" s="431" t="s">
        <v>75</v>
      </c>
      <c r="I190" s="92">
        <f>VFBS</f>
        <v>15.47</v>
      </c>
      <c r="J190" s="44" t="s">
        <v>76</v>
      </c>
      <c r="K190" s="223">
        <f>ROUND(I190*TEChuilelourde,2)</f>
        <v>0.54</v>
      </c>
      <c r="L190" s="134"/>
      <c r="M190" s="152" t="s">
        <v>77</v>
      </c>
      <c r="N190" s="153"/>
      <c r="O190" s="154" t="str">
        <f>P</f>
        <v>. . .</v>
      </c>
      <c r="P190" s="92" t="s">
        <v>78</v>
      </c>
      <c r="Q190" s="155">
        <f>TVAFLBTSAUTREMETRO</f>
        <v>3.1379600000000005</v>
      </c>
      <c r="R190" s="156">
        <f>TVAFLBTSAUTRECORSE</f>
        <v>2.0813</v>
      </c>
      <c r="S190" s="499"/>
      <c r="W190" s="167">
        <v>5929</v>
      </c>
      <c r="X190" s="167"/>
      <c r="Y190" s="161">
        <v>4012</v>
      </c>
      <c r="Z190" s="161">
        <v>9301</v>
      </c>
      <c r="AA190" s="498"/>
      <c r="AB190" s="29"/>
      <c r="AC190" s="30"/>
      <c r="AD190" s="486"/>
      <c r="AE190" s="392"/>
      <c r="AF190" s="392"/>
      <c r="AG190" s="392"/>
      <c r="AH190" s="392"/>
      <c r="AI190" s="392"/>
      <c r="AJ190" s="392"/>
      <c r="AK190" s="392"/>
      <c r="AL190" s="392"/>
      <c r="AM190" s="392"/>
      <c r="AN190" s="392"/>
      <c r="AO190" s="392"/>
      <c r="AP190" s="392"/>
      <c r="AQ190" s="392"/>
      <c r="AR190" s="392"/>
      <c r="AS190" s="392"/>
      <c r="AT190" s="392"/>
      <c r="AU190" s="392"/>
      <c r="AV190" s="392"/>
      <c r="AW190" s="392"/>
      <c r="AX190" s="392"/>
      <c r="AY190" s="392"/>
      <c r="AZ190" s="392"/>
      <c r="BA190" s="392"/>
      <c r="BB190" s="392"/>
      <c r="BC190" s="392"/>
      <c r="BD190" s="392"/>
      <c r="BE190" s="392"/>
      <c r="BF190" s="392"/>
      <c r="BG190" s="391"/>
    </row>
    <row r="191" spans="1:59" ht="12.75">
      <c r="A191" s="42"/>
      <c r="B191" s="23"/>
      <c r="C191" s="86"/>
      <c r="D191" s="44"/>
      <c r="E191" s="98"/>
      <c r="F191" s="133"/>
      <c r="G191" s="431"/>
      <c r="H191" s="431"/>
      <c r="I191" s="92"/>
      <c r="J191" s="44"/>
      <c r="K191" s="223"/>
      <c r="L191" s="134"/>
      <c r="M191" s="152"/>
      <c r="N191" s="153"/>
      <c r="O191" s="154"/>
      <c r="P191" s="92"/>
      <c r="Q191" s="155"/>
      <c r="R191" s="156"/>
      <c r="S191" s="499"/>
      <c r="W191" s="167"/>
      <c r="X191" s="167"/>
      <c r="Y191" s="161"/>
      <c r="Z191" s="161"/>
      <c r="AA191" s="498"/>
      <c r="AB191" s="29"/>
      <c r="AC191" s="30"/>
      <c r="AD191" s="486"/>
      <c r="AE191" s="392"/>
      <c r="AF191" s="392"/>
      <c r="AG191" s="392"/>
      <c r="AH191" s="392"/>
      <c r="AI191" s="392"/>
      <c r="AJ191" s="392"/>
      <c r="AK191" s="392"/>
      <c r="AL191" s="392"/>
      <c r="AM191" s="392"/>
      <c r="AN191" s="392"/>
      <c r="AO191" s="392"/>
      <c r="AP191" s="392"/>
      <c r="AQ191" s="392"/>
      <c r="AR191" s="392"/>
      <c r="AS191" s="392"/>
      <c r="AT191" s="392"/>
      <c r="AU191" s="392"/>
      <c r="AV191" s="392"/>
      <c r="AW191" s="392"/>
      <c r="AX191" s="392"/>
      <c r="AY191" s="392"/>
      <c r="AZ191" s="392"/>
      <c r="BA191" s="392"/>
      <c r="BB191" s="392"/>
      <c r="BC191" s="392"/>
      <c r="BD191" s="392"/>
      <c r="BE191" s="392"/>
      <c r="BF191" s="392"/>
      <c r="BG191" s="391"/>
    </row>
    <row r="192" spans="1:59" ht="12.75">
      <c r="A192" s="42"/>
      <c r="B192" s="23"/>
      <c r="C192" s="86" t="s">
        <v>79</v>
      </c>
      <c r="D192" s="45"/>
      <c r="E192" s="430"/>
      <c r="F192" s="133"/>
      <c r="G192" s="431"/>
      <c r="H192" s="431"/>
      <c r="I192" s="92"/>
      <c r="J192" s="44"/>
      <c r="K192" s="437"/>
      <c r="L192" s="134"/>
      <c r="M192" s="152"/>
      <c r="N192" s="153"/>
      <c r="O192" s="154"/>
      <c r="P192" s="92"/>
      <c r="Q192" s="155"/>
      <c r="R192" s="156"/>
      <c r="S192" s="499"/>
      <c r="T192" s="157"/>
      <c r="U192" s="158"/>
      <c r="V192" s="159"/>
      <c r="W192" s="160"/>
      <c r="X192" s="160"/>
      <c r="Y192" s="161"/>
      <c r="Z192" s="161"/>
      <c r="AA192" s="161"/>
      <c r="AB192" s="29"/>
      <c r="AC192" s="30"/>
      <c r="AD192" s="486"/>
      <c r="AE192" s="392"/>
      <c r="AF192" s="392"/>
      <c r="AG192" s="392"/>
      <c r="AH192" s="392"/>
      <c r="AI192" s="392"/>
      <c r="AJ192" s="392"/>
      <c r="AK192" s="392"/>
      <c r="AL192" s="392"/>
      <c r="AM192" s="392"/>
      <c r="AN192" s="392"/>
      <c r="AO192" s="392"/>
      <c r="AP192" s="392"/>
      <c r="AQ192" s="392"/>
      <c r="AR192" s="392"/>
      <c r="AS192" s="392"/>
      <c r="AT192" s="392"/>
      <c r="AU192" s="392"/>
      <c r="AV192" s="392"/>
      <c r="AW192" s="392"/>
      <c r="AX192" s="392"/>
      <c r="AY192" s="392"/>
      <c r="AZ192" s="392"/>
      <c r="BA192" s="392"/>
      <c r="BB192" s="392"/>
      <c r="BC192" s="392"/>
      <c r="BD192" s="392"/>
      <c r="BE192" s="392"/>
      <c r="BF192" s="392"/>
      <c r="BG192" s="391"/>
    </row>
    <row r="193" spans="1:92" s="497" customFormat="1" ht="12.75">
      <c r="A193" s="42">
        <v>86</v>
      </c>
      <c r="B193" s="23" t="s">
        <v>80</v>
      </c>
      <c r="C193" s="86" t="s">
        <v>81</v>
      </c>
      <c r="D193" s="44" t="str">
        <f>P</f>
        <v>. . .</v>
      </c>
      <c r="E193" s="430">
        <f>TEChuilelourde</f>
        <v>0.035</v>
      </c>
      <c r="F193" s="133"/>
      <c r="G193" s="435" t="s">
        <v>82</v>
      </c>
      <c r="H193" s="23" t="s">
        <v>83</v>
      </c>
      <c r="I193" s="92">
        <f>VFFOD</f>
        <v>24.98</v>
      </c>
      <c r="J193" s="44" t="s">
        <v>84</v>
      </c>
      <c r="K193" s="436">
        <f>ROUND(I193*TEChuilelourde,2)</f>
        <v>0.87</v>
      </c>
      <c r="L193" s="133"/>
      <c r="M193" s="152">
        <f>TIGO</f>
        <v>41.69</v>
      </c>
      <c r="N193" s="153"/>
      <c r="O193" s="154" t="str">
        <f>P</f>
        <v>. . .</v>
      </c>
      <c r="P193" s="92" t="s">
        <v>85</v>
      </c>
      <c r="Q193" s="155">
        <f>TVAGOMETRO</f>
        <v>13.339760000000002</v>
      </c>
      <c r="R193" s="156">
        <f>TVAGOCORSE</f>
        <v>8.847800000000001</v>
      </c>
      <c r="S193" s="496"/>
      <c r="T193" s="353">
        <v>5712</v>
      </c>
      <c r="U193" s="354"/>
      <c r="V193" s="9"/>
      <c r="W193" s="351">
        <v>5938</v>
      </c>
      <c r="X193" s="351"/>
      <c r="Y193" s="11">
        <v>9301</v>
      </c>
      <c r="Z193" s="11"/>
      <c r="AA193" s="161"/>
      <c r="AB193" s="29"/>
      <c r="AC193" s="30"/>
      <c r="AD193" s="31"/>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41"/>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row>
    <row r="194" spans="1:59" ht="12" customHeight="1">
      <c r="A194" s="42">
        <v>87</v>
      </c>
      <c r="B194" s="23" t="s">
        <v>86</v>
      </c>
      <c r="C194" s="86" t="s">
        <v>87</v>
      </c>
      <c r="D194" s="44" t="s">
        <v>88</v>
      </c>
      <c r="E194" s="430">
        <f>TEChuilelourde</f>
        <v>0.035</v>
      </c>
      <c r="F194" s="133"/>
      <c r="G194" s="429"/>
      <c r="H194" s="431"/>
      <c r="I194" s="92">
        <f>VFFHS</f>
        <v>13.68</v>
      </c>
      <c r="J194" s="44" t="s">
        <v>89</v>
      </c>
      <c r="K194" s="437">
        <f>ROUND(I194*TEChuilelourde,2)</f>
        <v>0.48</v>
      </c>
      <c r="L194" s="134"/>
      <c r="M194" s="152">
        <f>TIFBTS</f>
        <v>1.85</v>
      </c>
      <c r="N194" s="153"/>
      <c r="O194" s="154" t="str">
        <f>P</f>
        <v>. . .</v>
      </c>
      <c r="P194" s="92" t="str">
        <f>"(18)"</f>
        <v>(18)</v>
      </c>
      <c r="Q194" s="155">
        <f>SUM(I194:P194)*19.6%</f>
        <v>3.1379600000000005</v>
      </c>
      <c r="R194" s="156">
        <f>SUM(I194:P194)*13%</f>
        <v>2.0813</v>
      </c>
      <c r="S194" s="499"/>
      <c r="T194" s="157">
        <v>5704</v>
      </c>
      <c r="U194" s="158"/>
      <c r="V194" s="159">
        <v>5733</v>
      </c>
      <c r="W194" s="167">
        <v>5932</v>
      </c>
      <c r="X194" s="167"/>
      <c r="Y194" s="161">
        <v>9301</v>
      </c>
      <c r="Z194" s="161"/>
      <c r="AA194" s="498"/>
      <c r="AB194" s="29"/>
      <c r="AC194" s="30"/>
      <c r="AD194" s="31"/>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41"/>
    </row>
    <row r="195" spans="1:59" ht="12.75">
      <c r="A195" s="42">
        <v>88</v>
      </c>
      <c r="B195" s="23" t="s">
        <v>90</v>
      </c>
      <c r="C195" s="86" t="s">
        <v>91</v>
      </c>
      <c r="D195" s="45" t="str">
        <f>P</f>
        <v>. . .</v>
      </c>
      <c r="E195" s="430">
        <f>TEChuilelourde</f>
        <v>0.035</v>
      </c>
      <c r="F195" s="133"/>
      <c r="G195" s="429" t="s">
        <v>92</v>
      </c>
      <c r="H195" s="431" t="s">
        <v>93</v>
      </c>
      <c r="I195" s="92">
        <f>VFFHS</f>
        <v>13.68</v>
      </c>
      <c r="J195" s="44" t="s">
        <v>94</v>
      </c>
      <c r="K195" s="223">
        <f>ROUND(I195*TEChuilelourde,2)</f>
        <v>0.48</v>
      </c>
      <c r="L195" s="134"/>
      <c r="M195" s="152" t="s">
        <v>95</v>
      </c>
      <c r="N195" s="153"/>
      <c r="O195" s="154" t="str">
        <f>P</f>
        <v>. . .</v>
      </c>
      <c r="P195" s="92" t="s">
        <v>96</v>
      </c>
      <c r="Q195" s="155">
        <f>SUM(I195:P195)*19.6%</f>
        <v>2.77536</v>
      </c>
      <c r="R195" s="156">
        <f>SUM(I195:P195)*13%</f>
        <v>1.8408</v>
      </c>
      <c r="S195" s="499"/>
      <c r="W195" s="167">
        <v>5949</v>
      </c>
      <c r="X195" s="167"/>
      <c r="Y195" s="161">
        <v>4012</v>
      </c>
      <c r="Z195" s="161">
        <v>9301</v>
      </c>
      <c r="AA195" s="498"/>
      <c r="AB195" s="29"/>
      <c r="AC195" s="30"/>
      <c r="AD195" s="31"/>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41"/>
    </row>
    <row r="196" spans="1:59" ht="12.75">
      <c r="A196" s="42"/>
      <c r="B196" s="23"/>
      <c r="C196" s="86"/>
      <c r="D196" s="45"/>
      <c r="E196" s="98"/>
      <c r="F196" s="133"/>
      <c r="G196" s="429"/>
      <c r="H196" s="431"/>
      <c r="I196" s="92"/>
      <c r="J196" s="44"/>
      <c r="K196" s="223"/>
      <c r="L196" s="134"/>
      <c r="M196" s="152"/>
      <c r="N196" s="153"/>
      <c r="O196" s="154"/>
      <c r="P196" s="92"/>
      <c r="Q196" s="155"/>
      <c r="R196" s="156"/>
      <c r="S196" s="499"/>
      <c r="T196" s="157"/>
      <c r="U196" s="158"/>
      <c r="V196" s="159"/>
      <c r="W196" s="160"/>
      <c r="X196" s="160"/>
      <c r="Y196" s="161"/>
      <c r="Z196" s="161"/>
      <c r="AA196" s="161"/>
      <c r="AB196" s="29"/>
      <c r="AC196" s="30"/>
      <c r="AD196" s="31"/>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41"/>
    </row>
    <row r="197" spans="1:59" ht="12.75">
      <c r="A197" s="42"/>
      <c r="B197" s="23"/>
      <c r="C197" s="86" t="s">
        <v>97</v>
      </c>
      <c r="D197" s="45"/>
      <c r="E197" s="98"/>
      <c r="F197" s="133"/>
      <c r="G197" s="431"/>
      <c r="H197" s="431"/>
      <c r="I197" s="92"/>
      <c r="J197" s="44"/>
      <c r="K197" s="223"/>
      <c r="L197" s="134"/>
      <c r="M197" s="152"/>
      <c r="N197" s="153"/>
      <c r="O197" s="154"/>
      <c r="P197" s="92"/>
      <c r="Q197" s="155"/>
      <c r="R197" s="156"/>
      <c r="S197" s="166"/>
      <c r="T197" s="157"/>
      <c r="U197" s="158"/>
      <c r="V197" s="159"/>
      <c r="W197" s="160"/>
      <c r="X197" s="160"/>
      <c r="Y197" s="161"/>
      <c r="Z197" s="161"/>
      <c r="AA197" s="161"/>
      <c r="AB197" s="29"/>
      <c r="AC197" s="30"/>
      <c r="AD197" s="31"/>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41"/>
    </row>
    <row r="198" spans="1:92" s="497" customFormat="1" ht="12.75">
      <c r="A198" s="42">
        <v>89</v>
      </c>
      <c r="B198" s="23" t="s">
        <v>98</v>
      </c>
      <c r="C198" s="86" t="s">
        <v>99</v>
      </c>
      <c r="D198" s="44" t="str">
        <f>P</f>
        <v>. . .</v>
      </c>
      <c r="E198" s="98">
        <f>TEChuilelourde</f>
        <v>0.035</v>
      </c>
      <c r="F198" s="133"/>
      <c r="G198" s="435" t="s">
        <v>100</v>
      </c>
      <c r="H198" s="23" t="s">
        <v>101</v>
      </c>
      <c r="I198" s="92">
        <f>VFFOD</f>
        <v>24.98</v>
      </c>
      <c r="J198" s="44" t="s">
        <v>102</v>
      </c>
      <c r="K198" s="166">
        <f>ROUND(I198*TEChuilelourde,2)</f>
        <v>0.87</v>
      </c>
      <c r="L198" s="133"/>
      <c r="M198" s="152">
        <f>TIGO</f>
        <v>41.69</v>
      </c>
      <c r="N198" s="153"/>
      <c r="O198" s="154" t="str">
        <f>P</f>
        <v>. . .</v>
      </c>
      <c r="P198" s="92" t="s">
        <v>103</v>
      </c>
      <c r="Q198" s="155">
        <f>TVAGOMETRO</f>
        <v>13.339760000000002</v>
      </c>
      <c r="R198" s="156">
        <f>TVAGOCORSE</f>
        <v>8.847800000000001</v>
      </c>
      <c r="S198" s="496"/>
      <c r="T198" s="353">
        <v>5712</v>
      </c>
      <c r="U198" s="354"/>
      <c r="V198" s="9"/>
      <c r="W198" s="351">
        <v>5938</v>
      </c>
      <c r="X198" s="351"/>
      <c r="Y198" s="11">
        <v>9301</v>
      </c>
      <c r="Z198" s="11"/>
      <c r="AA198" s="161"/>
      <c r="AB198" s="29"/>
      <c r="AC198" s="30"/>
      <c r="AD198" s="31"/>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41"/>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row>
    <row r="199" spans="1:59" ht="12.75">
      <c r="A199" s="42">
        <v>90</v>
      </c>
      <c r="B199" s="23" t="s">
        <v>104</v>
      </c>
      <c r="C199" s="86" t="s">
        <v>105</v>
      </c>
      <c r="D199" s="45" t="s">
        <v>106</v>
      </c>
      <c r="E199" s="430">
        <f>TEChuilelourde</f>
        <v>0.035</v>
      </c>
      <c r="F199" s="133"/>
      <c r="G199" s="429"/>
      <c r="H199" s="431"/>
      <c r="I199" s="92">
        <f>VFFHS</f>
        <v>13.68</v>
      </c>
      <c r="J199" s="44" t="s">
        <v>107</v>
      </c>
      <c r="K199" s="437">
        <f>ROUND(I199*TEChuilelourde,2)</f>
        <v>0.48</v>
      </c>
      <c r="L199" s="134"/>
      <c r="M199" s="152">
        <f>TIFBTS</f>
        <v>1.85</v>
      </c>
      <c r="N199" s="153"/>
      <c r="O199" s="154" t="str">
        <f>P</f>
        <v>. . .</v>
      </c>
      <c r="P199" s="92" t="str">
        <f>"(18)"</f>
        <v>(18)</v>
      </c>
      <c r="Q199" s="155">
        <f>TVAFLHTSMETRO</f>
        <v>3.1379600000000005</v>
      </c>
      <c r="R199" s="196">
        <f>TVAFLHTSCORSE</f>
        <v>2.0813</v>
      </c>
      <c r="S199" s="41"/>
      <c r="T199" s="157">
        <v>5704</v>
      </c>
      <c r="U199" s="158"/>
      <c r="V199" s="159">
        <v>5733</v>
      </c>
      <c r="W199" s="167">
        <v>5932</v>
      </c>
      <c r="X199" s="167"/>
      <c r="Y199" s="161">
        <v>9301</v>
      </c>
      <c r="Z199" s="161"/>
      <c r="AB199" s="29"/>
      <c r="AC199" s="30"/>
      <c r="AD199" s="31"/>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41"/>
    </row>
    <row r="200" spans="1:92" s="512" customFormat="1" ht="12.75">
      <c r="A200" s="197">
        <v>91</v>
      </c>
      <c r="B200" s="198" t="s">
        <v>108</v>
      </c>
      <c r="C200" s="488" t="s">
        <v>109</v>
      </c>
      <c r="D200" s="200" t="str">
        <f>P</f>
        <v>. . .</v>
      </c>
      <c r="E200" s="201">
        <f>TEChuilelourde</f>
        <v>0.035</v>
      </c>
      <c r="F200" s="202"/>
      <c r="G200" s="489" t="s">
        <v>110</v>
      </c>
      <c r="H200" s="439" t="s">
        <v>111</v>
      </c>
      <c r="I200" s="210">
        <f>VFFHS</f>
        <v>13.68</v>
      </c>
      <c r="J200" s="205" t="s">
        <v>112</v>
      </c>
      <c r="K200" s="394">
        <f>ROUND(I200*TEChuilelourde,2)</f>
        <v>0.48</v>
      </c>
      <c r="L200" s="206"/>
      <c r="M200" s="207" t="s">
        <v>113</v>
      </c>
      <c r="N200" s="208"/>
      <c r="O200" s="209" t="str">
        <f>P</f>
        <v>. . .</v>
      </c>
      <c r="P200" s="210" t="s">
        <v>114</v>
      </c>
      <c r="Q200" s="155">
        <f>SUM(I200:P200)*19.6%</f>
        <v>2.77536</v>
      </c>
      <c r="R200" s="156">
        <f>SUM(I200:P200)*13%</f>
        <v>1.8408</v>
      </c>
      <c r="S200" s="500"/>
      <c r="T200" s="501"/>
      <c r="U200" s="502"/>
      <c r="V200" s="503"/>
      <c r="W200" s="504">
        <v>5949</v>
      </c>
      <c r="X200" s="504"/>
      <c r="Y200" s="505">
        <v>4012</v>
      </c>
      <c r="Z200" s="505">
        <v>9301</v>
      </c>
      <c r="AA200" s="506"/>
      <c r="AB200" s="507"/>
      <c r="AC200" s="508"/>
      <c r="AD200" s="509"/>
      <c r="AE200" s="510"/>
      <c r="AF200" s="510"/>
      <c r="AG200" s="510"/>
      <c r="AH200" s="510"/>
      <c r="AI200" s="510"/>
      <c r="AJ200" s="510"/>
      <c r="AK200" s="510"/>
      <c r="AL200" s="510"/>
      <c r="AM200" s="510"/>
      <c r="AN200" s="510"/>
      <c r="AO200" s="510"/>
      <c r="AP200" s="510"/>
      <c r="AQ200" s="510"/>
      <c r="AR200" s="510"/>
      <c r="AS200" s="510"/>
      <c r="AT200" s="510"/>
      <c r="AU200" s="510"/>
      <c r="AV200" s="510"/>
      <c r="AW200" s="510"/>
      <c r="AX200" s="510"/>
      <c r="AY200" s="510"/>
      <c r="AZ200" s="510"/>
      <c r="BA200" s="510"/>
      <c r="BB200" s="510"/>
      <c r="BC200" s="510"/>
      <c r="BD200" s="510"/>
      <c r="BE200" s="510"/>
      <c r="BF200" s="510"/>
      <c r="BG200" s="500"/>
      <c r="BH200" s="511"/>
      <c r="BI200" s="511"/>
      <c r="BJ200" s="511"/>
      <c r="BK200" s="511"/>
      <c r="BL200" s="511"/>
      <c r="BM200" s="511"/>
      <c r="BN200" s="511"/>
      <c r="BO200" s="511"/>
      <c r="BP200" s="511"/>
      <c r="BQ200" s="511"/>
      <c r="BR200" s="511"/>
      <c r="BS200" s="511"/>
      <c r="BT200" s="511"/>
      <c r="BU200" s="511"/>
      <c r="BV200" s="511"/>
      <c r="BW200" s="511"/>
      <c r="BX200" s="511"/>
      <c r="BY200" s="511"/>
      <c r="BZ200" s="511"/>
      <c r="CA200" s="511"/>
      <c r="CB200" s="511"/>
      <c r="CC200" s="511"/>
      <c r="CD200" s="511"/>
      <c r="CE200" s="511"/>
      <c r="CF200" s="511"/>
      <c r="CG200" s="511"/>
      <c r="CH200" s="511"/>
      <c r="CI200" s="511"/>
      <c r="CJ200" s="511"/>
      <c r="CK200" s="511"/>
      <c r="CL200" s="511"/>
      <c r="CM200" s="511"/>
      <c r="CN200" s="511"/>
    </row>
    <row r="201" spans="1:92" s="533" customFormat="1" ht="12.75">
      <c r="A201" s="14"/>
      <c r="B201" s="513"/>
      <c r="C201" s="513"/>
      <c r="D201" s="514"/>
      <c r="E201" s="515"/>
      <c r="F201" s="516"/>
      <c r="G201" s="517"/>
      <c r="H201" s="517"/>
      <c r="I201" s="396"/>
      <c r="J201" s="14"/>
      <c r="K201" s="518"/>
      <c r="L201" s="519"/>
      <c r="M201" s="520"/>
      <c r="N201" s="520"/>
      <c r="O201" s="396"/>
      <c r="P201" s="396"/>
      <c r="Q201" s="520"/>
      <c r="R201" s="520"/>
      <c r="S201" s="521"/>
      <c r="T201" s="522"/>
      <c r="U201" s="523"/>
      <c r="V201" s="524"/>
      <c r="W201" s="525"/>
      <c r="X201" s="525"/>
      <c r="Y201" s="526"/>
      <c r="Z201" s="526"/>
      <c r="AA201" s="526"/>
      <c r="AB201" s="527"/>
      <c r="AC201" s="528"/>
      <c r="AD201" s="529"/>
      <c r="AE201" s="530"/>
      <c r="AF201" s="530"/>
      <c r="AG201" s="530"/>
      <c r="AH201" s="530"/>
      <c r="AI201" s="530"/>
      <c r="AJ201" s="530"/>
      <c r="AK201" s="530"/>
      <c r="AL201" s="530"/>
      <c r="AM201" s="530"/>
      <c r="AN201" s="530"/>
      <c r="AO201" s="530"/>
      <c r="AP201" s="530"/>
      <c r="AQ201" s="530"/>
      <c r="AR201" s="530"/>
      <c r="AS201" s="530"/>
      <c r="AT201" s="530"/>
      <c r="AU201" s="530"/>
      <c r="AV201" s="530"/>
      <c r="AW201" s="530"/>
      <c r="AX201" s="530"/>
      <c r="AY201" s="530"/>
      <c r="AZ201" s="530"/>
      <c r="BA201" s="530"/>
      <c r="BB201" s="530"/>
      <c r="BC201" s="530"/>
      <c r="BD201" s="530"/>
      <c r="BE201" s="530"/>
      <c r="BF201" s="530"/>
      <c r="BG201" s="531"/>
      <c r="BH201" s="532"/>
      <c r="BI201" s="532"/>
      <c r="BJ201" s="532"/>
      <c r="BK201" s="532"/>
      <c r="BL201" s="532"/>
      <c r="BM201" s="532"/>
      <c r="BN201" s="532"/>
      <c r="BO201" s="532"/>
      <c r="BP201" s="532"/>
      <c r="BQ201" s="532"/>
      <c r="BR201" s="532"/>
      <c r="BS201" s="532"/>
      <c r="BT201" s="532"/>
      <c r="BU201" s="532"/>
      <c r="BV201" s="532"/>
      <c r="BW201" s="532"/>
      <c r="BX201" s="532"/>
      <c r="BY201" s="532"/>
      <c r="BZ201" s="532"/>
      <c r="CA201" s="532"/>
      <c r="CB201" s="532"/>
      <c r="CC201" s="532"/>
      <c r="CD201" s="532"/>
      <c r="CE201" s="532"/>
      <c r="CF201" s="532"/>
      <c r="CG201" s="532"/>
      <c r="CH201" s="532"/>
      <c r="CI201" s="532"/>
      <c r="CJ201" s="532"/>
      <c r="CK201" s="532"/>
      <c r="CL201" s="532"/>
      <c r="CM201" s="532"/>
      <c r="CN201" s="532"/>
    </row>
    <row r="202" spans="1:59" ht="12.75">
      <c r="A202" s="42"/>
      <c r="B202" s="23"/>
      <c r="C202" s="86" t="s">
        <v>115</v>
      </c>
      <c r="D202" s="45"/>
      <c r="E202" s="98"/>
      <c r="F202" s="133"/>
      <c r="G202" s="431"/>
      <c r="H202" s="431"/>
      <c r="I202" s="92"/>
      <c r="J202" s="44"/>
      <c r="K202" s="223"/>
      <c r="L202" s="134"/>
      <c r="M202" s="152"/>
      <c r="N202" s="153"/>
      <c r="O202" s="154"/>
      <c r="P202" s="92"/>
      <c r="Q202" s="155"/>
      <c r="R202" s="156"/>
      <c r="S202" s="166"/>
      <c r="T202" s="157"/>
      <c r="U202" s="158"/>
      <c r="V202" s="159"/>
      <c r="W202" s="160"/>
      <c r="X202" s="160"/>
      <c r="Y202" s="161"/>
      <c r="Z202" s="161"/>
      <c r="AA202" s="161"/>
      <c r="AB202" s="29"/>
      <c r="AC202" s="30"/>
      <c r="AD202" s="31"/>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41"/>
    </row>
    <row r="203" spans="1:59" ht="12.75">
      <c r="A203" s="42">
        <v>92</v>
      </c>
      <c r="B203" s="23" t="s">
        <v>116</v>
      </c>
      <c r="C203" s="86" t="s">
        <v>117</v>
      </c>
      <c r="D203" s="45" t="str">
        <f>P</f>
        <v>. . .</v>
      </c>
      <c r="E203" s="430" t="s">
        <v>118</v>
      </c>
      <c r="F203" s="133"/>
      <c r="G203" s="100" t="str">
        <f>P</f>
        <v>. . .</v>
      </c>
      <c r="H203" s="101" t="str">
        <f>P</f>
        <v>. . .</v>
      </c>
      <c r="I203" s="44" t="str">
        <f>R</f>
        <v>Réelle</v>
      </c>
      <c r="J203" s="44" t="s">
        <v>119</v>
      </c>
      <c r="K203" s="534" t="s">
        <v>120</v>
      </c>
      <c r="L203" s="134"/>
      <c r="M203" s="422" t="str">
        <f>"(3)"</f>
        <v>(3)</v>
      </c>
      <c r="N203" s="153"/>
      <c r="O203" s="154" t="str">
        <f>P</f>
        <v>. . .</v>
      </c>
      <c r="P203" s="92" t="str">
        <f>"(3)"</f>
        <v>(3)</v>
      </c>
      <c r="Q203" s="92" t="str">
        <f>"(3)"</f>
        <v>(3)</v>
      </c>
      <c r="R203" s="171" t="str">
        <f>"(3)"</f>
        <v>(3)</v>
      </c>
      <c r="S203" s="166"/>
      <c r="W203" s="160" t="str">
        <f>t</f>
        <v>TVO</v>
      </c>
      <c r="X203" s="160"/>
      <c r="Y203" s="161">
        <v>5930</v>
      </c>
      <c r="Z203" s="161">
        <v>9052</v>
      </c>
      <c r="AA203" s="161"/>
      <c r="AB203" s="29"/>
      <c r="AC203" s="30"/>
      <c r="AD203" s="31"/>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41"/>
    </row>
    <row r="204" spans="1:59" ht="12.75">
      <c r="A204" s="42">
        <v>93</v>
      </c>
      <c r="B204" s="23" t="s">
        <v>121</v>
      </c>
      <c r="C204" s="86" t="s">
        <v>122</v>
      </c>
      <c r="D204" s="45" t="s">
        <v>123</v>
      </c>
      <c r="E204" s="430"/>
      <c r="F204" s="133"/>
      <c r="G204" s="100"/>
      <c r="H204" s="431"/>
      <c r="I204" s="44"/>
      <c r="J204" s="44"/>
      <c r="K204" s="432"/>
      <c r="L204" s="134"/>
      <c r="M204" s="152"/>
      <c r="N204" s="153"/>
      <c r="O204" s="154"/>
      <c r="P204" s="137"/>
      <c r="Q204" s="137"/>
      <c r="R204" s="138"/>
      <c r="S204" s="166"/>
      <c r="T204" s="157"/>
      <c r="U204" s="158"/>
      <c r="V204" s="159"/>
      <c r="W204" s="160"/>
      <c r="X204" s="160"/>
      <c r="Y204" s="161"/>
      <c r="Z204" s="161"/>
      <c r="AA204" s="161"/>
      <c r="AB204" s="29"/>
      <c r="AC204" s="30"/>
      <c r="AD204" s="31"/>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41"/>
    </row>
    <row r="205" spans="1:59" ht="12.75">
      <c r="A205" s="42"/>
      <c r="B205" s="23"/>
      <c r="C205" s="86" t="s">
        <v>124</v>
      </c>
      <c r="D205" s="45" t="str">
        <f>P</f>
        <v>. . .</v>
      </c>
      <c r="E205" s="430" t="s">
        <v>125</v>
      </c>
      <c r="F205" s="133"/>
      <c r="G205" s="100" t="str">
        <f>P</f>
        <v>. . .</v>
      </c>
      <c r="H205" s="101" t="str">
        <f>P</f>
        <v>. . .</v>
      </c>
      <c r="I205" s="44" t="str">
        <f>R</f>
        <v>Réelle</v>
      </c>
      <c r="J205" s="44" t="s">
        <v>126</v>
      </c>
      <c r="K205" s="534" t="s">
        <v>127</v>
      </c>
      <c r="L205" s="134"/>
      <c r="M205" s="422" t="str">
        <f>"(3)"</f>
        <v>(3)</v>
      </c>
      <c r="N205" s="153"/>
      <c r="O205" s="154" t="str">
        <f>P</f>
        <v>. . .</v>
      </c>
      <c r="P205" s="92" t="str">
        <f>"(3)"</f>
        <v>(3)</v>
      </c>
      <c r="Q205" s="92" t="str">
        <f>"(3)"</f>
        <v>(3)</v>
      </c>
      <c r="R205" s="171" t="str">
        <f>"(3)"</f>
        <v>(3)</v>
      </c>
      <c r="S205" s="166"/>
      <c r="W205" s="57" t="str">
        <f>t</f>
        <v>TVO</v>
      </c>
      <c r="X205" s="57"/>
      <c r="Y205" s="58">
        <v>5930</v>
      </c>
      <c r="Z205" s="58">
        <v>9052</v>
      </c>
      <c r="AA205" s="161"/>
      <c r="AB205" s="29"/>
      <c r="AC205" s="30"/>
      <c r="AD205" s="31"/>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41"/>
    </row>
    <row r="206" spans="1:59" ht="12.75">
      <c r="A206" s="42"/>
      <c r="B206" s="23"/>
      <c r="C206" s="86" t="s">
        <v>128</v>
      </c>
      <c r="D206" s="45" t="s">
        <v>129</v>
      </c>
      <c r="E206" s="98"/>
      <c r="F206" s="133"/>
      <c r="G206" s="100"/>
      <c r="H206" s="431"/>
      <c r="I206" s="44"/>
      <c r="J206" s="44"/>
      <c r="K206" s="134"/>
      <c r="L206" s="134"/>
      <c r="M206" s="152"/>
      <c r="N206" s="153"/>
      <c r="O206" s="154"/>
      <c r="P206" s="137"/>
      <c r="Q206" s="137"/>
      <c r="R206" s="138"/>
      <c r="S206" s="166"/>
      <c r="T206" s="24"/>
      <c r="U206" s="25"/>
      <c r="V206" s="26"/>
      <c r="W206" s="27"/>
      <c r="X206" s="27"/>
      <c r="Y206" s="28"/>
      <c r="Z206" s="28"/>
      <c r="AA206" s="161"/>
      <c r="AB206" s="29"/>
      <c r="AC206" s="30"/>
      <c r="AD206" s="31"/>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41"/>
    </row>
    <row r="207" spans="1:59" ht="12.75">
      <c r="A207" s="42"/>
      <c r="B207" s="23"/>
      <c r="C207" s="86" t="s">
        <v>130</v>
      </c>
      <c r="D207" s="278"/>
      <c r="E207" s="279"/>
      <c r="F207" s="250"/>
      <c r="G207" s="280"/>
      <c r="H207" s="280"/>
      <c r="I207" s="275"/>
      <c r="J207" s="275"/>
      <c r="K207" s="281"/>
      <c r="L207" s="281"/>
      <c r="M207" s="282"/>
      <c r="N207" s="283"/>
      <c r="O207" s="284"/>
      <c r="P207" s="275"/>
      <c r="Q207" s="285"/>
      <c r="R207" s="286"/>
      <c r="S207" s="166"/>
      <c r="T207" s="54"/>
      <c r="U207" s="55"/>
      <c r="V207" s="56"/>
      <c r="W207" s="57"/>
      <c r="X207" s="57"/>
      <c r="Y207" s="58"/>
      <c r="Z207" s="58"/>
      <c r="AA207" s="161"/>
      <c r="AB207" s="29"/>
      <c r="AC207" s="30"/>
      <c r="AD207" s="31"/>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41"/>
    </row>
    <row r="208" spans="1:59" ht="22.5" customHeight="1">
      <c r="A208" s="320">
        <v>94</v>
      </c>
      <c r="B208" s="535" t="s">
        <v>131</v>
      </c>
      <c r="C208" s="536" t="s">
        <v>132</v>
      </c>
      <c r="D208" s="44" t="str">
        <f>P</f>
        <v>. . .</v>
      </c>
      <c r="E208" s="98">
        <f>TEClubrifiant</f>
        <v>0.037</v>
      </c>
      <c r="F208" s="133"/>
      <c r="G208" s="100" t="str">
        <f>P</f>
        <v>. . .</v>
      </c>
      <c r="H208" s="101" t="str">
        <f>P</f>
        <v>. . .</v>
      </c>
      <c r="I208" s="44">
        <f>VFHL</f>
        <v>22.87</v>
      </c>
      <c r="J208" s="44" t="s">
        <v>133</v>
      </c>
      <c r="K208" s="223">
        <f>ROUND(I208*TEClubrifiant,2)</f>
        <v>0.85</v>
      </c>
      <c r="L208" s="134"/>
      <c r="M208" s="152" t="s">
        <v>134</v>
      </c>
      <c r="N208" s="153"/>
      <c r="O208" s="537">
        <f>TGAP</f>
        <v>3.811</v>
      </c>
      <c r="P208" s="92" t="str">
        <f>P</f>
        <v>. . .</v>
      </c>
      <c r="Q208" s="155">
        <f>SUM(I208:P208)*19.6%</f>
        <v>5.396076000000001</v>
      </c>
      <c r="R208" s="196">
        <f>SUM(I208:P208)*13%</f>
        <v>3.5790300000000004</v>
      </c>
      <c r="S208" s="166"/>
      <c r="T208" s="24">
        <v>5703</v>
      </c>
      <c r="U208" s="25" t="s">
        <v>135</v>
      </c>
      <c r="W208" s="195">
        <v>5942</v>
      </c>
      <c r="X208" s="195"/>
      <c r="Y208" s="28">
        <v>9181</v>
      </c>
      <c r="Z208" s="28" t="s">
        <v>136</v>
      </c>
      <c r="AA208" s="58"/>
      <c r="AB208" s="29"/>
      <c r="AC208" s="30"/>
      <c r="AD208" s="31"/>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41"/>
    </row>
    <row r="209" spans="1:59" ht="12.75">
      <c r="A209" s="42">
        <v>95</v>
      </c>
      <c r="B209" s="23" t="s">
        <v>137</v>
      </c>
      <c r="C209" s="86" t="s">
        <v>138</v>
      </c>
      <c r="D209" s="44" t="str">
        <f>P</f>
        <v>. . .</v>
      </c>
      <c r="E209" s="98">
        <f>TEClubrifiant</f>
        <v>0.037</v>
      </c>
      <c r="F209" s="133"/>
      <c r="G209" s="100" t="str">
        <f>P</f>
        <v>. . .</v>
      </c>
      <c r="H209" s="101" t="str">
        <f>P</f>
        <v>. . .</v>
      </c>
      <c r="I209" s="44">
        <f>VFHL</f>
        <v>22.87</v>
      </c>
      <c r="J209" s="44" t="s">
        <v>139</v>
      </c>
      <c r="K209" s="223">
        <f>ROUND(I209*TEClubrifiant,2)</f>
        <v>0.85</v>
      </c>
      <c r="L209" s="134"/>
      <c r="M209" s="152" t="s">
        <v>140</v>
      </c>
      <c r="N209" s="153"/>
      <c r="O209" s="154" t="str">
        <f>P</f>
        <v>. . .</v>
      </c>
      <c r="P209" s="92" t="str">
        <f>P</f>
        <v>. . .</v>
      </c>
      <c r="Q209" s="155">
        <f>SUM(I209:P209)*19.6%</f>
        <v>4.649120000000001</v>
      </c>
      <c r="R209" s="196">
        <f>SUM(I209:P209)*13%</f>
        <v>3.0836000000000006</v>
      </c>
      <c r="S209" s="154"/>
      <c r="W209" s="351">
        <v>5900</v>
      </c>
      <c r="X209" s="195"/>
      <c r="AA209" s="28"/>
      <c r="AB209" s="29"/>
      <c r="AC209" s="30"/>
      <c r="AD209" s="31"/>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41"/>
    </row>
    <row r="210" spans="1:92" s="542" customFormat="1" ht="12.75">
      <c r="A210" s="44"/>
      <c r="B210" s="86"/>
      <c r="C210" s="86"/>
      <c r="D210" s="44"/>
      <c r="E210" s="538"/>
      <c r="F210" s="136"/>
      <c r="G210" s="539"/>
      <c r="H210" s="539"/>
      <c r="I210" s="44"/>
      <c r="J210" s="44"/>
      <c r="K210" s="540"/>
      <c r="L210" s="541"/>
      <c r="M210" s="152"/>
      <c r="N210" s="153"/>
      <c r="O210" s="92"/>
      <c r="P210" s="92"/>
      <c r="Q210" s="155"/>
      <c r="R210" s="138"/>
      <c r="S210" s="23"/>
      <c r="T210" s="353"/>
      <c r="U210" s="354"/>
      <c r="V210" s="9"/>
      <c r="W210" s="10"/>
      <c r="X210" s="10"/>
      <c r="Y210" s="11"/>
      <c r="Z210" s="11"/>
      <c r="AA210" s="58"/>
      <c r="AB210" s="29"/>
      <c r="AC210" s="30"/>
      <c r="AD210" s="31"/>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41"/>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row>
    <row r="211" spans="1:59" ht="14.25" customHeight="1">
      <c r="A211" s="44"/>
      <c r="B211" s="23"/>
      <c r="C211" s="86" t="s">
        <v>141</v>
      </c>
      <c r="D211" s="44"/>
      <c r="E211" s="543"/>
      <c r="F211" s="133"/>
      <c r="G211" s="100"/>
      <c r="H211" s="101"/>
      <c r="I211" s="44"/>
      <c r="J211" s="44"/>
      <c r="K211" s="544"/>
      <c r="L211" s="134"/>
      <c r="M211" s="152" t="s">
        <v>142</v>
      </c>
      <c r="N211" s="153"/>
      <c r="O211" s="154"/>
      <c r="P211" s="92"/>
      <c r="Q211" s="155"/>
      <c r="R211" s="156"/>
      <c r="S211" s="154"/>
      <c r="T211" s="157"/>
      <c r="U211" s="158"/>
      <c r="V211" s="159"/>
      <c r="W211" s="160"/>
      <c r="X211" s="160"/>
      <c r="Y211" s="161"/>
      <c r="Z211" s="161"/>
      <c r="AA211" s="28"/>
      <c r="AB211" s="29"/>
      <c r="AC211" s="30"/>
      <c r="AD211" s="31"/>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41"/>
    </row>
    <row r="212" spans="1:59" ht="24" customHeight="1">
      <c r="A212" s="329">
        <v>96</v>
      </c>
      <c r="B212" s="321" t="s">
        <v>143</v>
      </c>
      <c r="C212" s="536" t="s">
        <v>144</v>
      </c>
      <c r="D212" s="44" t="str">
        <f>P</f>
        <v>. . .</v>
      </c>
      <c r="E212" s="98">
        <f>TEClubrifiant</f>
        <v>0.037</v>
      </c>
      <c r="F212" s="133"/>
      <c r="G212" s="100" t="str">
        <f>P</f>
        <v>. . .</v>
      </c>
      <c r="H212" s="101" t="str">
        <f>P</f>
        <v>. . .</v>
      </c>
      <c r="I212" s="44">
        <f>VFHL</f>
        <v>22.87</v>
      </c>
      <c r="J212" s="44" t="s">
        <v>145</v>
      </c>
      <c r="K212" s="223">
        <f>ROUND(I212*TEClubrifiant,2)</f>
        <v>0.85</v>
      </c>
      <c r="L212" s="134"/>
      <c r="M212" s="152" t="s">
        <v>146</v>
      </c>
      <c r="N212" s="153"/>
      <c r="O212" s="537">
        <f>TGAP</f>
        <v>3.811</v>
      </c>
      <c r="P212" s="92" t="str">
        <f>P</f>
        <v>. . .</v>
      </c>
      <c r="Q212" s="155">
        <f>TVATGAPLUBMETRO</f>
        <v>5.396076000000001</v>
      </c>
      <c r="R212" s="156">
        <f>TVATGAPLUBCORSE</f>
        <v>3.5790300000000004</v>
      </c>
      <c r="S212" s="23"/>
      <c r="T212" s="157">
        <v>5703</v>
      </c>
      <c r="U212" s="25" t="s">
        <v>147</v>
      </c>
      <c r="W212" s="167">
        <v>5942</v>
      </c>
      <c r="X212" s="167"/>
      <c r="Y212" s="161">
        <v>9181</v>
      </c>
      <c r="Z212" s="28" t="s">
        <v>148</v>
      </c>
      <c r="AB212" s="29"/>
      <c r="AC212" s="30"/>
      <c r="AD212" s="31"/>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41"/>
    </row>
    <row r="213" spans="1:59" ht="12.75">
      <c r="A213" s="42">
        <v>97</v>
      </c>
      <c r="B213" s="23" t="s">
        <v>149</v>
      </c>
      <c r="C213" s="86" t="s">
        <v>150</v>
      </c>
      <c r="D213" s="44" t="str">
        <f>P</f>
        <v>. . .</v>
      </c>
      <c r="E213" s="98">
        <f>TEClubrifiant</f>
        <v>0.037</v>
      </c>
      <c r="F213" s="133"/>
      <c r="G213" s="100" t="str">
        <f>P</f>
        <v>. . .</v>
      </c>
      <c r="H213" s="101" t="str">
        <f>P</f>
        <v>. . .</v>
      </c>
      <c r="I213" s="44">
        <f>VFHL</f>
        <v>22.87</v>
      </c>
      <c r="J213" s="44" t="s">
        <v>151</v>
      </c>
      <c r="K213" s="223">
        <f>ROUND(I213*TEClubrifiant,2)</f>
        <v>0.85</v>
      </c>
      <c r="L213" s="134"/>
      <c r="M213" s="152" t="s">
        <v>152</v>
      </c>
      <c r="N213" s="153"/>
      <c r="O213" s="154"/>
      <c r="P213" s="92" t="str">
        <f>P</f>
        <v>. . .</v>
      </c>
      <c r="Q213" s="155">
        <f>TVALUBMETRO</f>
        <v>4.649120000000001</v>
      </c>
      <c r="R213" s="156">
        <f>TVALUBCORSE</f>
        <v>3.0836000000000006</v>
      </c>
      <c r="S213" s="41"/>
      <c r="V213" s="159"/>
      <c r="W213" s="167">
        <v>5900</v>
      </c>
      <c r="X213" s="167"/>
      <c r="Y213" s="161"/>
      <c r="Z213" s="161"/>
      <c r="AB213" s="29"/>
      <c r="AC213" s="30"/>
      <c r="AD213" s="31"/>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41"/>
    </row>
    <row r="214" spans="1:59" ht="12.75">
      <c r="A214" s="42"/>
      <c r="B214" s="86"/>
      <c r="C214" s="5"/>
      <c r="D214" s="44"/>
      <c r="E214" s="545"/>
      <c r="F214" s="133"/>
      <c r="G214" s="100"/>
      <c r="H214" s="101"/>
      <c r="I214" s="44"/>
      <c r="J214" s="44"/>
      <c r="K214" s="546"/>
      <c r="L214" s="134"/>
      <c r="M214" s="152"/>
      <c r="N214" s="153"/>
      <c r="O214" s="154"/>
      <c r="P214" s="92"/>
      <c r="Q214" s="137"/>
      <c r="R214" s="138"/>
      <c r="S214" s="41"/>
      <c r="V214" s="159"/>
      <c r="W214" s="160"/>
      <c r="X214" s="160"/>
      <c r="Y214" s="161"/>
      <c r="Z214" s="161"/>
      <c r="AA214" s="161"/>
      <c r="AB214" s="29"/>
      <c r="AC214" s="30"/>
      <c r="AD214" s="31"/>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41"/>
    </row>
    <row r="215" spans="1:59" ht="12.75">
      <c r="A215" s="42">
        <v>98</v>
      </c>
      <c r="B215" s="23" t="s">
        <v>153</v>
      </c>
      <c r="C215" s="86" t="s">
        <v>154</v>
      </c>
      <c r="D215" s="44" t="str">
        <f>P</f>
        <v>. . .</v>
      </c>
      <c r="E215" s="98">
        <f>TEClubrifiant</f>
        <v>0.037</v>
      </c>
      <c r="F215" s="133"/>
      <c r="G215" s="100" t="str">
        <f>P</f>
        <v>. . .</v>
      </c>
      <c r="H215" s="101" t="str">
        <f>P</f>
        <v>. . .</v>
      </c>
      <c r="I215" s="44">
        <f>VFHL</f>
        <v>22.87</v>
      </c>
      <c r="J215" s="44" t="s">
        <v>155</v>
      </c>
      <c r="K215" s="223">
        <f>ROUND(I215*TEClubrifiant,2)</f>
        <v>0.85</v>
      </c>
      <c r="L215" s="134"/>
      <c r="M215" s="152" t="s">
        <v>156</v>
      </c>
      <c r="N215" s="153"/>
      <c r="O215" s="154"/>
      <c r="P215" s="92" t="str">
        <f>P</f>
        <v>. . .</v>
      </c>
      <c r="Q215" s="155">
        <f>TVALUBMETRO</f>
        <v>4.649120000000001</v>
      </c>
      <c r="R215" s="156">
        <f>TVALUBCORSE</f>
        <v>3.0836000000000006</v>
      </c>
      <c r="S215" s="166"/>
      <c r="V215" s="26"/>
      <c r="W215" s="195">
        <v>5900</v>
      </c>
      <c r="X215" s="195"/>
      <c r="Y215" s="28"/>
      <c r="Z215" s="28"/>
      <c r="AA215" s="161"/>
      <c r="AB215" s="29"/>
      <c r="AC215" s="30"/>
      <c r="AD215" s="31"/>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41"/>
    </row>
    <row r="216" spans="1:59" ht="12.75">
      <c r="A216" s="42"/>
      <c r="B216" s="23"/>
      <c r="C216" s="86" t="s">
        <v>157</v>
      </c>
      <c r="D216" s="44"/>
      <c r="E216" s="545"/>
      <c r="F216" s="133"/>
      <c r="G216" s="100"/>
      <c r="H216" s="101"/>
      <c r="I216" s="44"/>
      <c r="J216" s="44"/>
      <c r="K216" s="546"/>
      <c r="L216" s="134"/>
      <c r="M216" s="152"/>
      <c r="N216" s="153"/>
      <c r="O216" s="154"/>
      <c r="P216" s="92"/>
      <c r="Q216" s="137"/>
      <c r="R216" s="138"/>
      <c r="S216" s="166"/>
      <c r="T216" s="157"/>
      <c r="U216" s="158"/>
      <c r="V216" s="159"/>
      <c r="W216" s="160"/>
      <c r="X216" s="160"/>
      <c r="Y216" s="161"/>
      <c r="Z216" s="161"/>
      <c r="AA216" s="161"/>
      <c r="AB216" s="29"/>
      <c r="AC216" s="547"/>
      <c r="AD216" s="31"/>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41"/>
    </row>
    <row r="217" spans="1:59" ht="24" customHeight="1">
      <c r="A217" s="320">
        <v>99</v>
      </c>
      <c r="B217" s="321" t="s">
        <v>158</v>
      </c>
      <c r="C217" s="536" t="s">
        <v>159</v>
      </c>
      <c r="D217" s="44" t="str">
        <f>P</f>
        <v>. . .</v>
      </c>
      <c r="E217" s="98">
        <f>TEClubrifiant</f>
        <v>0.037</v>
      </c>
      <c r="F217" s="136"/>
      <c r="G217" s="100" t="str">
        <f>P</f>
        <v>. . .</v>
      </c>
      <c r="H217" s="101" t="str">
        <f>P</f>
        <v>. . .</v>
      </c>
      <c r="I217" s="44">
        <f>VFHL</f>
        <v>22.87</v>
      </c>
      <c r="J217" s="44" t="s">
        <v>160</v>
      </c>
      <c r="K217" s="223">
        <f>ROUND(I217*TEClubrifiant,2)</f>
        <v>0.85</v>
      </c>
      <c r="L217" s="134"/>
      <c r="M217" s="152" t="s">
        <v>161</v>
      </c>
      <c r="N217" s="153"/>
      <c r="O217" s="537">
        <f>TGAP</f>
        <v>3.811</v>
      </c>
      <c r="P217" s="92" t="str">
        <f>P</f>
        <v>. . .</v>
      </c>
      <c r="Q217" s="155">
        <f>TVATGAPLUBMETRO</f>
        <v>5.396076000000001</v>
      </c>
      <c r="R217" s="156">
        <f>TVATGAPLUBCORSE</f>
        <v>3.5790300000000004</v>
      </c>
      <c r="S217" s="166"/>
      <c r="T217" s="157">
        <v>5703</v>
      </c>
      <c r="U217" s="25" t="s">
        <v>162</v>
      </c>
      <c r="W217" s="167">
        <v>5942</v>
      </c>
      <c r="X217" s="167"/>
      <c r="Y217" s="161">
        <v>9181</v>
      </c>
      <c r="Z217" s="28" t="s">
        <v>163</v>
      </c>
      <c r="AA217" s="498"/>
      <c r="AB217" s="548"/>
      <c r="AC217" s="30"/>
      <c r="AD217" s="31"/>
      <c r="AE217" s="32"/>
      <c r="AF217" s="32"/>
      <c r="AG217" s="32"/>
      <c r="AH217" s="32"/>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c r="BD217" s="229"/>
      <c r="BE217" s="229"/>
      <c r="BF217" s="229"/>
      <c r="BG217" s="41"/>
    </row>
    <row r="218" spans="1:59" ht="12.75">
      <c r="A218" s="42">
        <v>100</v>
      </c>
      <c r="B218" s="23" t="s">
        <v>164</v>
      </c>
      <c r="C218" s="86" t="s">
        <v>165</v>
      </c>
      <c r="D218" s="44" t="str">
        <f>P</f>
        <v>. . .</v>
      </c>
      <c r="E218" s="98">
        <f>TEClubrifiant</f>
        <v>0.037</v>
      </c>
      <c r="F218" s="133"/>
      <c r="G218" s="100" t="str">
        <f>P</f>
        <v>. . .</v>
      </c>
      <c r="H218" s="101" t="str">
        <f>P</f>
        <v>. . .</v>
      </c>
      <c r="I218" s="44">
        <f>VFHL</f>
        <v>22.87</v>
      </c>
      <c r="J218" s="44" t="s">
        <v>166</v>
      </c>
      <c r="K218" s="223">
        <f>ROUND(I218*TEClubrifiant,2)</f>
        <v>0.85</v>
      </c>
      <c r="L218" s="134"/>
      <c r="M218" s="152" t="s">
        <v>167</v>
      </c>
      <c r="N218" s="153"/>
      <c r="O218" s="154"/>
      <c r="P218" s="92" t="str">
        <f>P</f>
        <v>. . .</v>
      </c>
      <c r="Q218" s="155">
        <f>TVALUBMETRO</f>
        <v>4.649120000000001</v>
      </c>
      <c r="R218" s="156">
        <f>TVALUBCORSE</f>
        <v>3.0836000000000006</v>
      </c>
      <c r="S218" s="166"/>
      <c r="V218" s="26"/>
      <c r="W218" s="195">
        <v>5900</v>
      </c>
      <c r="X218" s="195"/>
      <c r="Y218" s="28"/>
      <c r="Z218" s="28"/>
      <c r="AA218" s="28"/>
      <c r="AB218" s="29"/>
      <c r="AC218" s="30"/>
      <c r="AD218" s="31"/>
      <c r="AE218" s="32"/>
      <c r="AF218" s="32"/>
      <c r="AG218" s="32"/>
      <c r="AH218" s="32"/>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41"/>
    </row>
    <row r="219" spans="1:92" s="551" customFormat="1" ht="12.75" customHeight="1">
      <c r="A219" s="42"/>
      <c r="B219" s="23"/>
      <c r="C219" s="86" t="s">
        <v>168</v>
      </c>
      <c r="D219" s="44"/>
      <c r="E219" s="543"/>
      <c r="F219" s="133"/>
      <c r="G219" s="100"/>
      <c r="H219" s="101"/>
      <c r="I219" s="44"/>
      <c r="J219" s="44"/>
      <c r="K219" s="544"/>
      <c r="L219" s="134"/>
      <c r="M219" s="152"/>
      <c r="N219" s="153"/>
      <c r="O219" s="154"/>
      <c r="P219" s="92"/>
      <c r="Q219" s="137"/>
      <c r="R219" s="138"/>
      <c r="S219" s="499"/>
      <c r="T219" s="157"/>
      <c r="U219" s="158"/>
      <c r="V219" s="159"/>
      <c r="W219" s="160"/>
      <c r="X219" s="160"/>
      <c r="Y219" s="161"/>
      <c r="Z219" s="161"/>
      <c r="AA219" s="161"/>
      <c r="AB219" s="227"/>
      <c r="AC219" s="30"/>
      <c r="AD219" s="486"/>
      <c r="AE219" s="392"/>
      <c r="AF219" s="392"/>
      <c r="AG219" s="392"/>
      <c r="AH219" s="392"/>
      <c r="AI219" s="549"/>
      <c r="AJ219" s="549"/>
      <c r="AK219" s="549"/>
      <c r="AL219" s="549"/>
      <c r="AM219" s="549"/>
      <c r="AN219" s="549"/>
      <c r="AO219" s="549"/>
      <c r="AP219" s="549"/>
      <c r="AQ219" s="549"/>
      <c r="AR219" s="549"/>
      <c r="AS219" s="549"/>
      <c r="AT219" s="549"/>
      <c r="AU219" s="549"/>
      <c r="AV219" s="549"/>
      <c r="AW219" s="549"/>
      <c r="AX219" s="549"/>
      <c r="AY219" s="549"/>
      <c r="AZ219" s="549"/>
      <c r="BA219" s="549"/>
      <c r="BB219" s="549"/>
      <c r="BC219" s="549"/>
      <c r="BD219" s="549"/>
      <c r="BE219" s="549"/>
      <c r="BF219" s="549"/>
      <c r="BG219" s="391"/>
      <c r="BH219" s="550"/>
      <c r="BI219" s="550"/>
      <c r="BJ219" s="550"/>
      <c r="BK219" s="550"/>
      <c r="BL219" s="550"/>
      <c r="BM219" s="550"/>
      <c r="BN219" s="550"/>
      <c r="BO219" s="550"/>
      <c r="BP219" s="550"/>
      <c r="BQ219" s="550"/>
      <c r="BR219" s="550"/>
      <c r="BS219" s="550"/>
      <c r="BT219" s="550"/>
      <c r="BU219" s="550"/>
      <c r="BV219" s="550"/>
      <c r="BW219" s="550"/>
      <c r="BX219" s="550"/>
      <c r="BY219" s="550"/>
      <c r="BZ219" s="550"/>
      <c r="CA219" s="550"/>
      <c r="CB219" s="550"/>
      <c r="CC219" s="550"/>
      <c r="CD219" s="550"/>
      <c r="CE219" s="550"/>
      <c r="CF219" s="550"/>
      <c r="CG219" s="550"/>
      <c r="CH219" s="550"/>
      <c r="CI219" s="550"/>
      <c r="CJ219" s="550"/>
      <c r="CK219" s="550"/>
      <c r="CL219" s="550"/>
      <c r="CM219" s="550"/>
      <c r="CN219" s="550"/>
    </row>
    <row r="220" spans="1:59" ht="24" customHeight="1">
      <c r="A220" s="320">
        <v>101</v>
      </c>
      <c r="B220" s="321" t="s">
        <v>169</v>
      </c>
      <c r="C220" s="536" t="s">
        <v>170</v>
      </c>
      <c r="D220" s="44" t="str">
        <f>P</f>
        <v>. . .</v>
      </c>
      <c r="E220" s="98">
        <f>TEClubrifiant</f>
        <v>0.037</v>
      </c>
      <c r="F220" s="133"/>
      <c r="G220" s="100" t="str">
        <f>P</f>
        <v>. . .</v>
      </c>
      <c r="H220" s="101" t="str">
        <f>P</f>
        <v>. . .</v>
      </c>
      <c r="I220" s="44">
        <f>VFHL</f>
        <v>22.87</v>
      </c>
      <c r="J220" s="44" t="s">
        <v>171</v>
      </c>
      <c r="K220" s="223">
        <f>ROUND(I220*TEClubrifiant,2)</f>
        <v>0.85</v>
      </c>
      <c r="L220" s="134"/>
      <c r="M220" s="152" t="s">
        <v>172</v>
      </c>
      <c r="N220" s="153"/>
      <c r="O220" s="537">
        <f>TGAP</f>
        <v>3.811</v>
      </c>
      <c r="P220" s="92" t="str">
        <f>P</f>
        <v>. . .</v>
      </c>
      <c r="Q220" s="155">
        <f>TVATGAPLUBMETRO</f>
        <v>5.396076000000001</v>
      </c>
      <c r="R220" s="156">
        <f>TVATGAPLUBCORSE</f>
        <v>3.5790300000000004</v>
      </c>
      <c r="S220" s="409"/>
      <c r="T220" s="157">
        <v>5703</v>
      </c>
      <c r="U220" s="25" t="s">
        <v>173</v>
      </c>
      <c r="W220" s="167">
        <v>5942</v>
      </c>
      <c r="X220" s="167"/>
      <c r="Y220" s="161">
        <v>9181</v>
      </c>
      <c r="Z220" s="28" t="s">
        <v>174</v>
      </c>
      <c r="AA220" s="161"/>
      <c r="AB220" s="29"/>
      <c r="AC220" s="30"/>
      <c r="AD220" s="31"/>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41"/>
    </row>
    <row r="221" spans="1:59" ht="12.75">
      <c r="A221" s="42">
        <v>102</v>
      </c>
      <c r="B221" s="23" t="s">
        <v>175</v>
      </c>
      <c r="C221" s="86" t="s">
        <v>176</v>
      </c>
      <c r="D221" s="44" t="str">
        <f>P</f>
        <v>. . .</v>
      </c>
      <c r="E221" s="98">
        <f>TEClubrifiant</f>
        <v>0.037</v>
      </c>
      <c r="F221" s="133"/>
      <c r="G221" s="100" t="str">
        <f>P</f>
        <v>. . .</v>
      </c>
      <c r="H221" s="101" t="str">
        <f>P</f>
        <v>. . .</v>
      </c>
      <c r="I221" s="468">
        <f>VFHL</f>
        <v>22.87</v>
      </c>
      <c r="J221" s="44" t="s">
        <v>177</v>
      </c>
      <c r="K221" s="223">
        <f>ROUND(I221*TEClubrifiant,2)</f>
        <v>0.85</v>
      </c>
      <c r="L221" s="134"/>
      <c r="M221" s="152" t="s">
        <v>178</v>
      </c>
      <c r="N221" s="153"/>
      <c r="O221" s="537"/>
      <c r="P221" s="92" t="str">
        <f>P</f>
        <v>. . .</v>
      </c>
      <c r="Q221" s="155">
        <f>TVALUBMETRO</f>
        <v>4.649120000000001</v>
      </c>
      <c r="R221" s="156">
        <f>TVALUBCORSE</f>
        <v>3.0836000000000006</v>
      </c>
      <c r="S221" s="166"/>
      <c r="V221" s="26"/>
      <c r="W221" s="195">
        <v>5900</v>
      </c>
      <c r="X221" s="195"/>
      <c r="Y221" s="28"/>
      <c r="Z221" s="28"/>
      <c r="AA221" s="28"/>
      <c r="AB221" s="29"/>
      <c r="AC221" s="30"/>
      <c r="AD221" s="31"/>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41"/>
    </row>
    <row r="222" spans="1:59" ht="12.75">
      <c r="A222" s="42"/>
      <c r="B222" s="23"/>
      <c r="C222" s="86" t="s">
        <v>179</v>
      </c>
      <c r="D222" s="44"/>
      <c r="E222" s="545"/>
      <c r="F222" s="133"/>
      <c r="G222" s="100"/>
      <c r="H222" s="101"/>
      <c r="I222" s="44"/>
      <c r="J222" s="44"/>
      <c r="K222" s="546"/>
      <c r="L222" s="134"/>
      <c r="M222" s="152"/>
      <c r="N222" s="153"/>
      <c r="O222" s="537"/>
      <c r="P222" s="92"/>
      <c r="Q222" s="137"/>
      <c r="R222" s="138"/>
      <c r="S222" s="166"/>
      <c r="T222" s="157"/>
      <c r="U222" s="158"/>
      <c r="V222" s="159"/>
      <c r="W222" s="160"/>
      <c r="X222" s="160"/>
      <c r="Y222" s="161"/>
      <c r="Z222" s="161"/>
      <c r="AA222" s="161"/>
      <c r="AB222" s="29"/>
      <c r="AC222" s="30"/>
      <c r="AD222" s="31"/>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41"/>
    </row>
    <row r="223" spans="1:59" ht="24" customHeight="1">
      <c r="A223" s="320">
        <v>103</v>
      </c>
      <c r="B223" s="321" t="s">
        <v>180</v>
      </c>
      <c r="C223" s="536" t="s">
        <v>181</v>
      </c>
      <c r="D223" s="44" t="str">
        <f>P</f>
        <v>. . .</v>
      </c>
      <c r="E223" s="98">
        <f>TEClubrifiant</f>
        <v>0.037</v>
      </c>
      <c r="F223" s="133"/>
      <c r="G223" s="100" t="str">
        <f>P</f>
        <v>. . .</v>
      </c>
      <c r="H223" s="101" t="str">
        <f>P</f>
        <v>. . .</v>
      </c>
      <c r="I223" s="552">
        <f>VFHL</f>
        <v>22.87</v>
      </c>
      <c r="J223" s="44" t="s">
        <v>182</v>
      </c>
      <c r="K223" s="223">
        <f>ROUND(I223*TEClubrifiant,2)</f>
        <v>0.85</v>
      </c>
      <c r="L223" s="134"/>
      <c r="M223" s="152" t="s">
        <v>183</v>
      </c>
      <c r="N223" s="153"/>
      <c r="O223" s="537">
        <f>TGAP</f>
        <v>3.811</v>
      </c>
      <c r="P223" s="92" t="str">
        <f>P</f>
        <v>. . .</v>
      </c>
      <c r="Q223" s="155">
        <f>TVATGAPLUBMETRO</f>
        <v>5.396076000000001</v>
      </c>
      <c r="R223" s="156">
        <f>TVATGAPLUBCORSE</f>
        <v>3.5790300000000004</v>
      </c>
      <c r="S223" s="409"/>
      <c r="T223" s="157">
        <v>5703</v>
      </c>
      <c r="U223" s="25" t="s">
        <v>184</v>
      </c>
      <c r="W223" s="167">
        <v>5942</v>
      </c>
      <c r="X223" s="167"/>
      <c r="Y223" s="161">
        <v>9181</v>
      </c>
      <c r="Z223" s="28" t="s">
        <v>185</v>
      </c>
      <c r="AA223" s="161"/>
      <c r="AB223" s="29"/>
      <c r="AC223" s="30"/>
      <c r="AD223" s="31"/>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41"/>
    </row>
    <row r="224" spans="1:59" ht="12.75">
      <c r="A224" s="42">
        <v>104</v>
      </c>
      <c r="B224" s="23" t="s">
        <v>186</v>
      </c>
      <c r="C224" s="86" t="s">
        <v>187</v>
      </c>
      <c r="D224" s="44" t="str">
        <f>P</f>
        <v>. . .</v>
      </c>
      <c r="E224" s="98">
        <f>TEClubrifiant</f>
        <v>0.037</v>
      </c>
      <c r="F224" s="133"/>
      <c r="G224" s="100" t="str">
        <f>P</f>
        <v>. . .</v>
      </c>
      <c r="H224" s="101" t="str">
        <f>P</f>
        <v>. . .</v>
      </c>
      <c r="I224" s="552">
        <f>VFHL</f>
        <v>22.87</v>
      </c>
      <c r="J224" s="44" t="s">
        <v>188</v>
      </c>
      <c r="K224" s="223">
        <f>ROUND(I224*TEClubrifiant,2)</f>
        <v>0.85</v>
      </c>
      <c r="L224" s="134"/>
      <c r="M224" s="152" t="s">
        <v>189</v>
      </c>
      <c r="N224" s="153"/>
      <c r="O224" s="537"/>
      <c r="P224" s="92" t="str">
        <f>P</f>
        <v>. . .</v>
      </c>
      <c r="Q224" s="155">
        <f>TVALUBMETRO</f>
        <v>4.649120000000001</v>
      </c>
      <c r="R224" s="156">
        <f>TVALUBCORSE</f>
        <v>3.0836000000000006</v>
      </c>
      <c r="S224" s="166"/>
      <c r="V224" s="26"/>
      <c r="W224" s="195">
        <v>5900</v>
      </c>
      <c r="X224" s="195"/>
      <c r="Y224" s="28"/>
      <c r="Z224" s="28"/>
      <c r="AA224" s="28"/>
      <c r="AB224" s="29"/>
      <c r="AC224" s="30"/>
      <c r="AD224" s="31"/>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41"/>
    </row>
    <row r="225" spans="1:59" ht="12.75">
      <c r="A225" s="42"/>
      <c r="B225" s="23"/>
      <c r="C225" s="86" t="s">
        <v>190</v>
      </c>
      <c r="D225" s="44"/>
      <c r="E225" s="543"/>
      <c r="F225" s="133"/>
      <c r="G225" s="100"/>
      <c r="H225" s="101"/>
      <c r="I225" s="44"/>
      <c r="J225" s="44"/>
      <c r="K225" s="544"/>
      <c r="L225" s="134"/>
      <c r="M225" s="152"/>
      <c r="N225" s="153"/>
      <c r="O225" s="537"/>
      <c r="P225" s="92"/>
      <c r="Q225" s="155"/>
      <c r="R225" s="156"/>
      <c r="S225" s="166"/>
      <c r="T225" s="157"/>
      <c r="U225" s="158"/>
      <c r="V225" s="159"/>
      <c r="W225" s="160"/>
      <c r="X225" s="160"/>
      <c r="Y225" s="161"/>
      <c r="Z225" s="161"/>
      <c r="AA225" s="161"/>
      <c r="AB225" s="29"/>
      <c r="AC225" s="30"/>
      <c r="AD225" s="31"/>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41"/>
    </row>
    <row r="226" spans="1:59" ht="24" customHeight="1">
      <c r="A226" s="320">
        <v>105</v>
      </c>
      <c r="B226" s="321" t="s">
        <v>191</v>
      </c>
      <c r="C226" s="536" t="s">
        <v>192</v>
      </c>
      <c r="D226" s="44" t="str">
        <f>P</f>
        <v>. . .</v>
      </c>
      <c r="E226" s="98">
        <f>TEClubrifiant</f>
        <v>0.037</v>
      </c>
      <c r="F226" s="133"/>
      <c r="G226" s="100" t="str">
        <f>P</f>
        <v>. . .</v>
      </c>
      <c r="H226" s="101" t="str">
        <f>P</f>
        <v>. . .</v>
      </c>
      <c r="I226" s="552">
        <f>VFHL</f>
        <v>22.87</v>
      </c>
      <c r="J226" s="44" t="s">
        <v>193</v>
      </c>
      <c r="K226" s="223">
        <f>ROUND(I226*TEClubrifiant,2)</f>
        <v>0.85</v>
      </c>
      <c r="L226" s="134"/>
      <c r="M226" s="152" t="s">
        <v>194</v>
      </c>
      <c r="N226" s="153"/>
      <c r="O226" s="537">
        <f>TGAP</f>
        <v>3.811</v>
      </c>
      <c r="P226" s="92" t="str">
        <f>P</f>
        <v>. . .</v>
      </c>
      <c r="Q226" s="155">
        <f>TVATGAPLUBMETRO</f>
        <v>5.396076000000001</v>
      </c>
      <c r="R226" s="156">
        <f>TVATGAPLUBCORSE</f>
        <v>3.5790300000000004</v>
      </c>
      <c r="S226" s="409"/>
      <c r="T226" s="157">
        <v>5703</v>
      </c>
      <c r="U226" s="25" t="s">
        <v>195</v>
      </c>
      <c r="W226" s="167">
        <v>5942</v>
      </c>
      <c r="X226" s="167"/>
      <c r="Y226" s="161">
        <v>9348</v>
      </c>
      <c r="Z226" s="161">
        <v>9181</v>
      </c>
      <c r="AA226" s="28" t="s">
        <v>196</v>
      </c>
      <c r="AB226" s="29"/>
      <c r="AC226" s="30"/>
      <c r="AD226" s="31"/>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41"/>
    </row>
    <row r="227" spans="1:92" s="512" customFormat="1" ht="12.75">
      <c r="A227" s="197">
        <v>106</v>
      </c>
      <c r="B227" s="198" t="s">
        <v>197</v>
      </c>
      <c r="C227" s="488" t="s">
        <v>198</v>
      </c>
      <c r="D227" s="205" t="str">
        <f>P</f>
        <v>. . .</v>
      </c>
      <c r="E227" s="201">
        <f>TEClubrifiant</f>
        <v>0.037</v>
      </c>
      <c r="F227" s="202"/>
      <c r="G227" s="203" t="str">
        <f>P</f>
        <v>. . .</v>
      </c>
      <c r="H227" s="204" t="str">
        <f>P</f>
        <v>. . .</v>
      </c>
      <c r="I227" s="553">
        <f>VFHL</f>
        <v>22.87</v>
      </c>
      <c r="J227" s="205" t="s">
        <v>199</v>
      </c>
      <c r="K227" s="394">
        <f>ROUND(I227*TEClubrifiant,2)</f>
        <v>0.85</v>
      </c>
      <c r="L227" s="206"/>
      <c r="M227" s="207" t="s">
        <v>200</v>
      </c>
      <c r="N227" s="208"/>
      <c r="O227" s="209"/>
      <c r="P227" s="210" t="str">
        <f>P</f>
        <v>. . .</v>
      </c>
      <c r="Q227" s="490">
        <f>TVALUBMETRO</f>
        <v>4.649120000000001</v>
      </c>
      <c r="R227" s="554">
        <f>TVALUBCORSE</f>
        <v>3.0836000000000006</v>
      </c>
      <c r="S227" s="555"/>
      <c r="T227" s="501"/>
      <c r="U227" s="502"/>
      <c r="V227" s="503"/>
      <c r="W227" s="556">
        <v>5900</v>
      </c>
      <c r="X227" s="556"/>
      <c r="Y227" s="557">
        <v>9348</v>
      </c>
      <c r="Z227" s="505"/>
      <c r="AA227" s="557"/>
      <c r="AB227" s="507"/>
      <c r="AC227" s="508"/>
      <c r="AD227" s="509"/>
      <c r="AE227" s="510"/>
      <c r="AF227" s="510"/>
      <c r="AG227" s="510"/>
      <c r="AH227" s="510"/>
      <c r="AI227" s="510"/>
      <c r="AJ227" s="510"/>
      <c r="AK227" s="510"/>
      <c r="AL227" s="510"/>
      <c r="AM227" s="510"/>
      <c r="AN227" s="510"/>
      <c r="AO227" s="510"/>
      <c r="AP227" s="510"/>
      <c r="AQ227" s="510"/>
      <c r="AR227" s="510"/>
      <c r="AS227" s="510"/>
      <c r="AT227" s="510"/>
      <c r="AU227" s="510"/>
      <c r="AV227" s="510"/>
      <c r="AW227" s="510"/>
      <c r="AX227" s="510"/>
      <c r="AY227" s="510"/>
      <c r="AZ227" s="510"/>
      <c r="BA227" s="510"/>
      <c r="BB227" s="510"/>
      <c r="BC227" s="510"/>
      <c r="BD227" s="510"/>
      <c r="BE227" s="510"/>
      <c r="BF227" s="510"/>
      <c r="BG227" s="500"/>
      <c r="BH227" s="511"/>
      <c r="BI227" s="511"/>
      <c r="BJ227" s="511"/>
      <c r="BK227" s="511"/>
      <c r="BL227" s="511"/>
      <c r="BM227" s="511"/>
      <c r="BN227" s="511"/>
      <c r="BO227" s="511"/>
      <c r="BP227" s="511"/>
      <c r="BQ227" s="511"/>
      <c r="BR227" s="511"/>
      <c r="BS227" s="511"/>
      <c r="BT227" s="511"/>
      <c r="BU227" s="511"/>
      <c r="BV227" s="511"/>
      <c r="BW227" s="511"/>
      <c r="BX227" s="511"/>
      <c r="BY227" s="511"/>
      <c r="BZ227" s="511"/>
      <c r="CA227" s="511"/>
      <c r="CB227" s="511"/>
      <c r="CC227" s="511"/>
      <c r="CD227" s="511"/>
      <c r="CE227" s="511"/>
      <c r="CF227" s="511"/>
      <c r="CG227" s="511"/>
      <c r="CH227" s="511"/>
      <c r="CI227" s="511"/>
      <c r="CJ227" s="511"/>
      <c r="CK227" s="511"/>
      <c r="CL227" s="511"/>
      <c r="CM227" s="511"/>
      <c r="CN227" s="511"/>
    </row>
    <row r="228" spans="1:59" ht="12.75">
      <c r="A228" s="42"/>
      <c r="B228" s="23"/>
      <c r="C228" s="86"/>
      <c r="D228" s="44"/>
      <c r="E228" s="98"/>
      <c r="F228" s="133"/>
      <c r="G228" s="100"/>
      <c r="H228" s="101"/>
      <c r="I228" s="44"/>
      <c r="J228" s="44"/>
      <c r="K228" s="223"/>
      <c r="L228" s="134"/>
      <c r="M228" s="152"/>
      <c r="N228" s="153"/>
      <c r="O228" s="154"/>
      <c r="P228" s="92"/>
      <c r="Q228" s="155"/>
      <c r="R228" s="156"/>
      <c r="S228" s="166"/>
      <c r="T228" s="558"/>
      <c r="U228" s="559"/>
      <c r="V228" s="26"/>
      <c r="W228" s="160"/>
      <c r="X228" s="160"/>
      <c r="Y228" s="161"/>
      <c r="Z228" s="161"/>
      <c r="AA228" s="28"/>
      <c r="AB228" s="29"/>
      <c r="AC228" s="30"/>
      <c r="AD228" s="31"/>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41"/>
    </row>
    <row r="229" spans="1:92" s="542" customFormat="1" ht="12.75">
      <c r="A229" s="42"/>
      <c r="B229" s="23"/>
      <c r="C229" s="560" t="s">
        <v>201</v>
      </c>
      <c r="D229" s="44"/>
      <c r="E229" s="98"/>
      <c r="F229" s="133"/>
      <c r="G229" s="100"/>
      <c r="H229" s="101"/>
      <c r="I229" s="44"/>
      <c r="J229" s="44"/>
      <c r="K229" s="223"/>
      <c r="L229" s="134"/>
      <c r="M229" s="152"/>
      <c r="N229" s="153"/>
      <c r="O229" s="154"/>
      <c r="P229" s="92"/>
      <c r="Q229" s="155"/>
      <c r="R229" s="156"/>
      <c r="S229" s="166"/>
      <c r="T229" s="558"/>
      <c r="U229" s="559"/>
      <c r="V229" s="26"/>
      <c r="W229" s="160"/>
      <c r="X229" s="160"/>
      <c r="Y229" s="161"/>
      <c r="Z229" s="161"/>
      <c r="AA229" s="28"/>
      <c r="AB229" s="29"/>
      <c r="AC229" s="30"/>
      <c r="AD229" s="31"/>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41"/>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row>
    <row r="230" spans="1:59" ht="12.75">
      <c r="A230" s="42"/>
      <c r="B230" s="23"/>
      <c r="C230" s="86" t="s">
        <v>202</v>
      </c>
      <c r="D230" s="44"/>
      <c r="E230" s="98"/>
      <c r="F230" s="133"/>
      <c r="G230" s="100"/>
      <c r="H230" s="101"/>
      <c r="I230" s="44"/>
      <c r="J230" s="44"/>
      <c r="K230" s="223"/>
      <c r="L230" s="134"/>
      <c r="M230" s="152"/>
      <c r="N230" s="153"/>
      <c r="O230" s="154"/>
      <c r="P230" s="92"/>
      <c r="Q230" s="155"/>
      <c r="R230" s="156"/>
      <c r="S230" s="166"/>
      <c r="T230" s="558"/>
      <c r="U230" s="559"/>
      <c r="V230" s="26"/>
      <c r="W230" s="160"/>
      <c r="X230" s="160"/>
      <c r="Y230" s="161"/>
      <c r="Z230" s="161"/>
      <c r="AA230" s="28"/>
      <c r="AB230" s="29"/>
      <c r="AC230" s="30"/>
      <c r="AD230" s="31"/>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41"/>
    </row>
    <row r="231" spans="1:59" ht="12.75">
      <c r="A231" s="42"/>
      <c r="B231" s="23"/>
      <c r="C231" s="86" t="s">
        <v>203</v>
      </c>
      <c r="D231" s="45"/>
      <c r="E231" s="561"/>
      <c r="F231" s="133"/>
      <c r="G231" s="100"/>
      <c r="H231" s="101"/>
      <c r="I231" s="44"/>
      <c r="J231" s="44"/>
      <c r="K231" s="225"/>
      <c r="L231" s="134"/>
      <c r="M231" s="152"/>
      <c r="N231" s="153"/>
      <c r="O231" s="154"/>
      <c r="P231" s="92"/>
      <c r="Q231" s="92"/>
      <c r="R231" s="171"/>
      <c r="S231" s="166"/>
      <c r="T231" s="558"/>
      <c r="U231" s="559"/>
      <c r="V231" s="26"/>
      <c r="W231" s="160"/>
      <c r="X231" s="160"/>
      <c r="Y231" s="161"/>
      <c r="Z231" s="161"/>
      <c r="AA231" s="28"/>
      <c r="AB231" s="29"/>
      <c r="AC231" s="30"/>
      <c r="AD231" s="31"/>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41"/>
    </row>
    <row r="232" spans="1:59" s="5" customFormat="1" ht="12.75">
      <c r="A232" s="320">
        <v>107</v>
      </c>
      <c r="B232" s="321" t="s">
        <v>204</v>
      </c>
      <c r="C232" s="86" t="s">
        <v>205</v>
      </c>
      <c r="D232" s="44"/>
      <c r="E232" s="561"/>
      <c r="F232" s="133"/>
      <c r="G232" s="194"/>
      <c r="H232" s="43"/>
      <c r="I232" s="44"/>
      <c r="J232" s="44"/>
      <c r="K232" s="223"/>
      <c r="L232" s="133"/>
      <c r="M232" s="152"/>
      <c r="N232" s="153"/>
      <c r="O232" s="537"/>
      <c r="P232" s="92"/>
      <c r="Q232" s="155"/>
      <c r="R232" s="156"/>
      <c r="S232" s="166"/>
      <c r="T232" s="157"/>
      <c r="U232" s="25"/>
      <c r="V232" s="26"/>
      <c r="W232" s="160"/>
      <c r="X232" s="160"/>
      <c r="Y232" s="161"/>
      <c r="Z232" s="161"/>
      <c r="AA232" s="28"/>
      <c r="AB232" s="29"/>
      <c r="AC232" s="30"/>
      <c r="AD232" s="31"/>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41"/>
    </row>
    <row r="233" spans="1:59" s="5" customFormat="1" ht="12.75">
      <c r="A233" s="42"/>
      <c r="B233" s="23"/>
      <c r="C233" s="86" t="s">
        <v>206</v>
      </c>
      <c r="D233" s="45"/>
      <c r="E233" s="561"/>
      <c r="F233" s="133"/>
      <c r="G233" s="100"/>
      <c r="H233" s="101"/>
      <c r="I233" s="44"/>
      <c r="J233" s="44"/>
      <c r="K233" s="223"/>
      <c r="L233" s="134"/>
      <c r="M233" s="152"/>
      <c r="N233" s="153"/>
      <c r="O233" s="537"/>
      <c r="P233" s="92"/>
      <c r="Q233" s="155"/>
      <c r="R233" s="156"/>
      <c r="S233" s="166"/>
      <c r="T233" s="558"/>
      <c r="U233" s="559"/>
      <c r="V233" s="26"/>
      <c r="W233" s="160"/>
      <c r="X233" s="160"/>
      <c r="Y233" s="161"/>
      <c r="Z233" s="161"/>
      <c r="AA233" s="28"/>
      <c r="AB233" s="29"/>
      <c r="AC233" s="30"/>
      <c r="AD233" s="31"/>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41"/>
    </row>
    <row r="234" spans="1:59" s="5" customFormat="1" ht="12.75">
      <c r="A234" s="42"/>
      <c r="B234" s="23"/>
      <c r="C234" s="86" t="s">
        <v>207</v>
      </c>
      <c r="D234" s="45" t="s">
        <v>208</v>
      </c>
      <c r="E234" s="561">
        <v>0.035</v>
      </c>
      <c r="F234" s="133"/>
      <c r="G234" s="100"/>
      <c r="H234" s="101"/>
      <c r="I234" s="44">
        <f>VFFHS</f>
        <v>13.68</v>
      </c>
      <c r="J234" s="44" t="s">
        <v>209</v>
      </c>
      <c r="K234" s="223">
        <f>ROUND(I234*TEChuilelourde,2)</f>
        <v>0.48</v>
      </c>
      <c r="L234" s="134"/>
      <c r="M234" s="152" t="s">
        <v>210</v>
      </c>
      <c r="N234" s="153"/>
      <c r="O234" s="537" t="str">
        <f>P</f>
        <v>. . .</v>
      </c>
      <c r="P234" s="92" t="s">
        <v>211</v>
      </c>
      <c r="Q234" s="155" t="str">
        <f>VI</f>
        <v>(25)</v>
      </c>
      <c r="R234" s="156" t="str">
        <f>VI</f>
        <v>(25)</v>
      </c>
      <c r="S234" s="166"/>
      <c r="T234" s="558"/>
      <c r="U234" s="559"/>
      <c r="V234" s="26"/>
      <c r="W234" s="160" t="s">
        <v>212</v>
      </c>
      <c r="X234" s="160"/>
      <c r="Y234" s="287">
        <v>9337</v>
      </c>
      <c r="Z234" s="161"/>
      <c r="AA234" s="28"/>
      <c r="AB234" s="29"/>
      <c r="AC234" s="30"/>
      <c r="AD234" s="31"/>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41"/>
    </row>
    <row r="235" spans="1:59" ht="12.75">
      <c r="A235" s="42">
        <v>108</v>
      </c>
      <c r="B235" s="23" t="s">
        <v>213</v>
      </c>
      <c r="C235" s="86" t="s">
        <v>214</v>
      </c>
      <c r="D235" s="45" t="s">
        <v>215</v>
      </c>
      <c r="E235" s="561">
        <v>0.035</v>
      </c>
      <c r="F235" s="133"/>
      <c r="G235" s="100"/>
      <c r="H235" s="101"/>
      <c r="I235" s="44">
        <f>VFFHS</f>
        <v>13.68</v>
      </c>
      <c r="J235" s="44" t="s">
        <v>216</v>
      </c>
      <c r="K235" s="223">
        <f>ROUND(I235*TEChuilelourde,2)</f>
        <v>0.48</v>
      </c>
      <c r="L235" s="134"/>
      <c r="M235" s="152" t="str">
        <f>"(9)"</f>
        <v>(9)</v>
      </c>
      <c r="N235" s="153"/>
      <c r="O235" s="537" t="str">
        <f>P</f>
        <v>. . .</v>
      </c>
      <c r="P235" s="92" t="s">
        <v>217</v>
      </c>
      <c r="Q235" s="155" t="str">
        <f>VI</f>
        <v>(25)</v>
      </c>
      <c r="R235" s="156" t="str">
        <f>VI</f>
        <v>(25)</v>
      </c>
      <c r="S235" s="166"/>
      <c r="T235" s="558"/>
      <c r="U235" s="559"/>
      <c r="V235" s="26"/>
      <c r="W235" s="160" t="s">
        <v>218</v>
      </c>
      <c r="X235" s="160"/>
      <c r="Y235" s="161">
        <v>4004</v>
      </c>
      <c r="Z235" s="161">
        <v>9348</v>
      </c>
      <c r="AA235" s="28"/>
      <c r="AB235" s="29"/>
      <c r="AC235" s="30"/>
      <c r="AD235" s="31"/>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41"/>
    </row>
    <row r="236" spans="1:59" ht="12.75">
      <c r="A236" s="42"/>
      <c r="B236" s="23"/>
      <c r="C236" s="86" t="s">
        <v>219</v>
      </c>
      <c r="D236" s="45"/>
      <c r="E236" s="561"/>
      <c r="F236" s="133"/>
      <c r="G236" s="100"/>
      <c r="H236" s="101"/>
      <c r="I236" s="44"/>
      <c r="J236" s="44"/>
      <c r="K236" s="225"/>
      <c r="L236" s="134"/>
      <c r="M236" s="152"/>
      <c r="N236" s="153"/>
      <c r="O236" s="537"/>
      <c r="P236" s="92"/>
      <c r="Q236" s="155"/>
      <c r="R236" s="156"/>
      <c r="S236" s="166"/>
      <c r="T236" s="558"/>
      <c r="U236" s="559"/>
      <c r="V236" s="26"/>
      <c r="W236" s="160"/>
      <c r="X236" s="160"/>
      <c r="Y236" s="161"/>
      <c r="Z236" s="161"/>
      <c r="AA236" s="28"/>
      <c r="AB236" s="29"/>
      <c r="AC236" s="30"/>
      <c r="AD236" s="31"/>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41"/>
    </row>
    <row r="237" spans="1:59" ht="12.75">
      <c r="A237" s="320">
        <v>109</v>
      </c>
      <c r="B237" s="321" t="s">
        <v>220</v>
      </c>
      <c r="C237" s="86" t="s">
        <v>221</v>
      </c>
      <c r="D237" s="45"/>
      <c r="E237" s="561"/>
      <c r="F237" s="133"/>
      <c r="G237" s="100"/>
      <c r="H237" s="101"/>
      <c r="I237" s="44"/>
      <c r="J237" s="44"/>
      <c r="K237" s="223"/>
      <c r="L237" s="134"/>
      <c r="M237" s="152"/>
      <c r="N237" s="153"/>
      <c r="O237" s="154"/>
      <c r="P237" s="92"/>
      <c r="Q237" s="155"/>
      <c r="R237" s="156"/>
      <c r="S237" s="166"/>
      <c r="T237" s="157"/>
      <c r="U237" s="25"/>
      <c r="V237" s="26"/>
      <c r="W237" s="160"/>
      <c r="X237" s="160"/>
      <c r="Y237" s="161"/>
      <c r="Z237" s="161"/>
      <c r="AA237" s="28"/>
      <c r="AB237" s="29"/>
      <c r="AC237" s="30"/>
      <c r="AD237" s="31"/>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41"/>
    </row>
    <row r="238" spans="1:59" ht="12.75">
      <c r="A238" s="42"/>
      <c r="B238" s="23"/>
      <c r="C238" s="86" t="s">
        <v>222</v>
      </c>
      <c r="D238" s="45"/>
      <c r="E238" s="561"/>
      <c r="F238" s="133"/>
      <c r="G238" s="100"/>
      <c r="H238" s="101"/>
      <c r="I238" s="44"/>
      <c r="J238" s="44"/>
      <c r="K238" s="223"/>
      <c r="L238" s="134"/>
      <c r="M238" s="152"/>
      <c r="N238" s="153"/>
      <c r="O238" s="154"/>
      <c r="P238" s="92"/>
      <c r="Q238" s="155"/>
      <c r="R238" s="156"/>
      <c r="S238" s="166"/>
      <c r="T238" s="558"/>
      <c r="U238" s="559"/>
      <c r="V238" s="26"/>
      <c r="W238" s="160"/>
      <c r="X238" s="160"/>
      <c r="Y238" s="161"/>
      <c r="Z238" s="161"/>
      <c r="AA238" s="28"/>
      <c r="AB238" s="29"/>
      <c r="AC238" s="30"/>
      <c r="AD238" s="31"/>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41"/>
    </row>
    <row r="239" spans="1:59" ht="12.75">
      <c r="A239" s="42"/>
      <c r="B239" s="23"/>
      <c r="C239" s="86" t="s">
        <v>223</v>
      </c>
      <c r="D239" s="45" t="s">
        <v>224</v>
      </c>
      <c r="E239" s="561">
        <v>0.035</v>
      </c>
      <c r="F239" s="133"/>
      <c r="G239" s="100"/>
      <c r="H239" s="101"/>
      <c r="I239" s="44">
        <f>VFFHS</f>
        <v>13.68</v>
      </c>
      <c r="J239" s="44" t="s">
        <v>225</v>
      </c>
      <c r="K239" s="223">
        <f>ROUND(I239*TEChuilelourde,2)</f>
        <v>0.48</v>
      </c>
      <c r="L239" s="134"/>
      <c r="M239" s="152" t="s">
        <v>226</v>
      </c>
      <c r="N239" s="153"/>
      <c r="O239" s="154" t="str">
        <f>P</f>
        <v>. . .</v>
      </c>
      <c r="P239" s="92" t="s">
        <v>227</v>
      </c>
      <c r="Q239" s="155" t="str">
        <f>VI</f>
        <v>(25)</v>
      </c>
      <c r="R239" s="156" t="str">
        <f>VI</f>
        <v>(25)</v>
      </c>
      <c r="S239" s="166"/>
      <c r="T239" s="558"/>
      <c r="U239" s="559"/>
      <c r="V239" s="26"/>
      <c r="W239" s="160" t="s">
        <v>228</v>
      </c>
      <c r="X239" s="160"/>
      <c r="Y239" s="287">
        <v>9337</v>
      </c>
      <c r="Z239" s="161"/>
      <c r="AA239" s="28"/>
      <c r="AB239" s="29"/>
      <c r="AC239" s="30"/>
      <c r="AD239" s="31"/>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41"/>
    </row>
    <row r="240" spans="1:59" ht="12.75">
      <c r="A240" s="42">
        <v>110</v>
      </c>
      <c r="B240" s="23" t="s">
        <v>229</v>
      </c>
      <c r="C240" s="86" t="s">
        <v>230</v>
      </c>
      <c r="D240" s="45" t="s">
        <v>231</v>
      </c>
      <c r="E240" s="562">
        <v>0.035</v>
      </c>
      <c r="F240" s="133"/>
      <c r="G240" s="100"/>
      <c r="H240" s="101"/>
      <c r="I240" s="44">
        <f>VFFHS</f>
        <v>13.68</v>
      </c>
      <c r="J240" s="44" t="s">
        <v>232</v>
      </c>
      <c r="K240" s="223">
        <f>ROUND(I240*TEChuilelourde,2)</f>
        <v>0.48</v>
      </c>
      <c r="L240" s="134"/>
      <c r="M240" s="152" t="str">
        <f>"(9)"</f>
        <v>(9)</v>
      </c>
      <c r="N240" s="153"/>
      <c r="O240" s="154" t="str">
        <f>P</f>
        <v>. . .</v>
      </c>
      <c r="P240" s="92" t="s">
        <v>233</v>
      </c>
      <c r="Q240" s="155" t="str">
        <f>VI</f>
        <v>(25)</v>
      </c>
      <c r="R240" s="156" t="str">
        <f>VI</f>
        <v>(25)</v>
      </c>
      <c r="S240" s="166"/>
      <c r="T240" s="558"/>
      <c r="U240" s="559"/>
      <c r="V240" s="26"/>
      <c r="W240" s="160" t="s">
        <v>234</v>
      </c>
      <c r="X240" s="160"/>
      <c r="Y240" s="161">
        <v>4004</v>
      </c>
      <c r="Z240" s="161">
        <v>9348</v>
      </c>
      <c r="AA240" s="28"/>
      <c r="AB240" s="29"/>
      <c r="AC240" s="30"/>
      <c r="AD240" s="31"/>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41"/>
    </row>
    <row r="241" spans="1:92" s="542" customFormat="1" ht="12.75">
      <c r="A241" s="42"/>
      <c r="B241" s="563"/>
      <c r="C241" s="564"/>
      <c r="D241" s="45"/>
      <c r="E241" s="98"/>
      <c r="F241" s="133"/>
      <c r="G241" s="100"/>
      <c r="H241" s="101"/>
      <c r="I241" s="44"/>
      <c r="J241" s="44"/>
      <c r="K241" s="352"/>
      <c r="L241" s="134"/>
      <c r="M241" s="152"/>
      <c r="N241" s="153"/>
      <c r="O241" s="154"/>
      <c r="P241" s="92"/>
      <c r="Q241" s="155"/>
      <c r="R241" s="156"/>
      <c r="S241" s="166"/>
      <c r="T241" s="157"/>
      <c r="U241" s="158"/>
      <c r="V241" s="159"/>
      <c r="W241" s="160"/>
      <c r="X241" s="160"/>
      <c r="Y241" s="161"/>
      <c r="Z241" s="161"/>
      <c r="AA241" s="161"/>
      <c r="AB241" s="29"/>
      <c r="AC241" s="30"/>
      <c r="AD241" s="31"/>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41"/>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row>
    <row r="242" spans="1:59" ht="12.75">
      <c r="A242" s="42"/>
      <c r="B242" s="565"/>
      <c r="C242" s="566" t="s">
        <v>235</v>
      </c>
      <c r="D242" s="45"/>
      <c r="E242" s="430"/>
      <c r="F242" s="133"/>
      <c r="G242" s="100"/>
      <c r="H242" s="101"/>
      <c r="I242" s="44"/>
      <c r="J242" s="44"/>
      <c r="K242" s="432"/>
      <c r="L242" s="134"/>
      <c r="M242" s="152"/>
      <c r="N242" s="153"/>
      <c r="O242" s="154"/>
      <c r="P242" s="92"/>
      <c r="Q242" s="137"/>
      <c r="R242" s="138"/>
      <c r="S242" s="409"/>
      <c r="T242" s="157"/>
      <c r="U242" s="158"/>
      <c r="V242" s="159"/>
      <c r="W242" s="160"/>
      <c r="X242" s="160"/>
      <c r="Y242" s="161"/>
      <c r="Z242" s="161"/>
      <c r="AA242" s="161"/>
      <c r="AB242" s="29"/>
      <c r="AC242" s="30"/>
      <c r="AD242" s="272"/>
      <c r="AE242" s="229"/>
      <c r="AF242" s="229"/>
      <c r="AG242" s="229"/>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41"/>
    </row>
    <row r="243" spans="1:59" ht="12.75">
      <c r="A243" s="42"/>
      <c r="B243" s="563"/>
      <c r="C243" s="567" t="s">
        <v>236</v>
      </c>
      <c r="D243" s="278"/>
      <c r="E243" s="279"/>
      <c r="F243" s="41"/>
      <c r="G243" s="280"/>
      <c r="H243" s="280"/>
      <c r="I243" s="275"/>
      <c r="J243" s="275"/>
      <c r="K243" s="281"/>
      <c r="L243" s="404"/>
      <c r="M243" s="282"/>
      <c r="N243" s="283"/>
      <c r="O243" s="139"/>
      <c r="P243" s="275"/>
      <c r="Q243" s="92"/>
      <c r="R243" s="171"/>
      <c r="S243" s="166"/>
      <c r="T243" s="252"/>
      <c r="U243" s="253"/>
      <c r="V243" s="254"/>
      <c r="W243" s="255"/>
      <c r="X243" s="255"/>
      <c r="Y243" s="256"/>
      <c r="Z243" s="256"/>
      <c r="AA243" s="161"/>
      <c r="AB243" s="29"/>
      <c r="AC243" s="30"/>
      <c r="AD243" s="272"/>
      <c r="AE243" s="229"/>
      <c r="AF243" s="229"/>
      <c r="AG243" s="229"/>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41"/>
    </row>
    <row r="244" spans="1:59" ht="12.75">
      <c r="A244" s="42"/>
      <c r="B244" s="563"/>
      <c r="C244" s="564" t="s">
        <v>237</v>
      </c>
      <c r="D244" s="278"/>
      <c r="E244" s="279"/>
      <c r="F244" s="41"/>
      <c r="G244" s="280"/>
      <c r="H244" s="280"/>
      <c r="I244" s="275"/>
      <c r="J244" s="275"/>
      <c r="K244" s="281"/>
      <c r="L244" s="404"/>
      <c r="M244" s="282"/>
      <c r="N244" s="283"/>
      <c r="O244" s="139"/>
      <c r="P244" s="275"/>
      <c r="Q244" s="285"/>
      <c r="R244" s="286"/>
      <c r="S244" s="166"/>
      <c r="T244" s="24"/>
      <c r="U244" s="25"/>
      <c r="V244" s="26"/>
      <c r="W244" s="27"/>
      <c r="X244" s="27"/>
      <c r="Y244" s="28"/>
      <c r="Z244" s="28"/>
      <c r="AA244" s="161"/>
      <c r="AB244" s="29"/>
      <c r="AC244" s="30"/>
      <c r="AD244" s="272"/>
      <c r="AE244" s="229"/>
      <c r="AF244" s="229"/>
      <c r="AG244" s="229"/>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41"/>
    </row>
    <row r="245" spans="1:59" ht="12.75">
      <c r="A245" s="234"/>
      <c r="B245" s="563"/>
      <c r="C245" s="568" t="s">
        <v>238</v>
      </c>
      <c r="D245" s="278"/>
      <c r="E245" s="279"/>
      <c r="F245" s="41"/>
      <c r="G245" s="280"/>
      <c r="H245" s="280"/>
      <c r="I245" s="275"/>
      <c r="J245" s="275"/>
      <c r="K245" s="281"/>
      <c r="L245" s="404"/>
      <c r="M245" s="282"/>
      <c r="N245" s="283"/>
      <c r="O245" s="139"/>
      <c r="P245" s="275"/>
      <c r="Q245" s="285"/>
      <c r="R245" s="286"/>
      <c r="S245" s="166"/>
      <c r="T245" s="54"/>
      <c r="U245" s="55"/>
      <c r="V245" s="56"/>
      <c r="W245" s="57"/>
      <c r="X245" s="57"/>
      <c r="Y245" s="58"/>
      <c r="Z245" s="58"/>
      <c r="AA245" s="161"/>
      <c r="AB245" s="29"/>
      <c r="AC245" s="30"/>
      <c r="AD245" s="272"/>
      <c r="AE245" s="229"/>
      <c r="AF245" s="229"/>
      <c r="AG245" s="229"/>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41"/>
    </row>
    <row r="246" spans="1:59" ht="12.75">
      <c r="A246" s="42">
        <v>111</v>
      </c>
      <c r="B246" s="563" t="s">
        <v>239</v>
      </c>
      <c r="C246" s="564" t="s">
        <v>240</v>
      </c>
      <c r="D246" s="45" t="s">
        <v>241</v>
      </c>
      <c r="E246" s="561">
        <v>0.08</v>
      </c>
      <c r="F246" s="41"/>
      <c r="G246" s="280"/>
      <c r="H246" s="280"/>
      <c r="I246" s="44" t="str">
        <f>R</f>
        <v>Réelle</v>
      </c>
      <c r="J246" s="275"/>
      <c r="K246" s="569">
        <v>0.08</v>
      </c>
      <c r="L246" s="404"/>
      <c r="M246" s="152" t="str">
        <f>"(9)"</f>
        <v>(9)</v>
      </c>
      <c r="N246" s="153"/>
      <c r="O246" s="154" t="str">
        <f>P</f>
        <v>. . .</v>
      </c>
      <c r="P246" s="92" t="s">
        <v>242</v>
      </c>
      <c r="Q246" s="92" t="str">
        <f>VI</f>
        <v>(25)</v>
      </c>
      <c r="R246" s="171" t="str">
        <f>VI</f>
        <v>(25)</v>
      </c>
      <c r="S246" s="166"/>
      <c r="W246" s="10" t="str">
        <f>t</f>
        <v>TVO</v>
      </c>
      <c r="Y246" s="11">
        <v>4004</v>
      </c>
      <c r="Z246" s="11">
        <v>9301</v>
      </c>
      <c r="AA246" s="256"/>
      <c r="AB246" s="29"/>
      <c r="AC246" s="30"/>
      <c r="AD246" s="31"/>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41"/>
    </row>
    <row r="247" spans="1:59" ht="12.75">
      <c r="A247" s="42">
        <v>112</v>
      </c>
      <c r="B247" s="563" t="s">
        <v>243</v>
      </c>
      <c r="C247" s="564" t="s">
        <v>244</v>
      </c>
      <c r="D247" s="45" t="s">
        <v>245</v>
      </c>
      <c r="E247" s="98" t="s">
        <v>246</v>
      </c>
      <c r="F247" s="41"/>
      <c r="G247" s="280"/>
      <c r="H247" s="280"/>
      <c r="I247" s="44" t="str">
        <f>R</f>
        <v>Réelle</v>
      </c>
      <c r="J247" s="275"/>
      <c r="K247" s="225" t="s">
        <v>247</v>
      </c>
      <c r="L247" s="404"/>
      <c r="M247" s="152" t="s">
        <v>248</v>
      </c>
      <c r="N247" s="153"/>
      <c r="O247" s="154" t="str">
        <f>P</f>
        <v>. . .</v>
      </c>
      <c r="P247" s="92" t="s">
        <v>249</v>
      </c>
      <c r="Q247" s="92" t="str">
        <f>VI</f>
        <v>(25)</v>
      </c>
      <c r="R247" s="171" t="str">
        <f>VI</f>
        <v>(25)</v>
      </c>
      <c r="S247" s="23"/>
      <c r="W247" s="57" t="str">
        <f>t</f>
        <v>TVO</v>
      </c>
      <c r="X247" s="57"/>
      <c r="Y247" s="58">
        <v>9301</v>
      </c>
      <c r="Z247" s="58"/>
      <c r="AB247" s="29"/>
      <c r="AC247" s="30"/>
      <c r="AD247" s="31"/>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41"/>
    </row>
    <row r="248" spans="1:59" ht="12.75">
      <c r="A248" s="42"/>
      <c r="B248" s="563"/>
      <c r="C248" s="568" t="s">
        <v>250</v>
      </c>
      <c r="D248" s="278"/>
      <c r="E248" s="279"/>
      <c r="F248" s="41"/>
      <c r="G248" s="280"/>
      <c r="H248" s="280"/>
      <c r="I248" s="275"/>
      <c r="J248" s="275"/>
      <c r="K248" s="281"/>
      <c r="L248" s="404"/>
      <c r="M248" s="282"/>
      <c r="N248" s="283"/>
      <c r="O248" s="139"/>
      <c r="P248" s="275"/>
      <c r="Q248" s="285"/>
      <c r="R248" s="286"/>
      <c r="S248" s="43"/>
      <c r="T248" s="54"/>
      <c r="U248" s="55"/>
      <c r="V248" s="56"/>
      <c r="W248" s="57"/>
      <c r="X248" s="57"/>
      <c r="Y248" s="58"/>
      <c r="Z248" s="58"/>
      <c r="AB248" s="29"/>
      <c r="AC248" s="30"/>
      <c r="AD248" s="31"/>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41"/>
    </row>
    <row r="249" spans="1:59" ht="12.75">
      <c r="A249" s="42">
        <v>113</v>
      </c>
      <c r="B249" s="570" t="s">
        <v>251</v>
      </c>
      <c r="C249" s="564" t="s">
        <v>252</v>
      </c>
      <c r="D249" s="45" t="s">
        <v>253</v>
      </c>
      <c r="E249" s="98" t="s">
        <v>254</v>
      </c>
      <c r="F249" s="133"/>
      <c r="G249" s="100" t="s">
        <v>255</v>
      </c>
      <c r="H249" s="101" t="s">
        <v>256</v>
      </c>
      <c r="I249" s="44" t="str">
        <f>R</f>
        <v>Réelle</v>
      </c>
      <c r="J249" s="44" t="s">
        <v>257</v>
      </c>
      <c r="K249" s="225" t="s">
        <v>258</v>
      </c>
      <c r="L249" s="134"/>
      <c r="M249" s="152" t="str">
        <f>"(3)"</f>
        <v>(3)</v>
      </c>
      <c r="N249" s="153"/>
      <c r="O249" s="43" t="str">
        <f>P</f>
        <v>. . .</v>
      </c>
      <c r="P249" s="44" t="str">
        <f>"(3)"</f>
        <v>(3)</v>
      </c>
      <c r="Q249" s="92" t="str">
        <f>"(3)"</f>
        <v>(3)</v>
      </c>
      <c r="R249" s="171" t="str">
        <f>"(3)"</f>
        <v>(3)</v>
      </c>
      <c r="S249" s="41"/>
      <c r="W249" s="57" t="str">
        <f>t</f>
        <v>TVO</v>
      </c>
      <c r="X249" s="57">
        <v>5930</v>
      </c>
      <c r="Y249" s="58">
        <v>9052</v>
      </c>
      <c r="Z249" s="58">
        <v>9308</v>
      </c>
      <c r="AA249" s="58">
        <v>9301</v>
      </c>
      <c r="AB249" s="267"/>
      <c r="AC249" s="30"/>
      <c r="AD249" s="31"/>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41"/>
    </row>
    <row r="250" spans="1:59" ht="12.75">
      <c r="A250" s="42">
        <v>114</v>
      </c>
      <c r="B250" s="570" t="s">
        <v>259</v>
      </c>
      <c r="C250" s="564" t="s">
        <v>260</v>
      </c>
      <c r="D250" s="278"/>
      <c r="E250" s="463"/>
      <c r="F250" s="41"/>
      <c r="G250" s="571"/>
      <c r="H250" s="571"/>
      <c r="I250" s="275"/>
      <c r="J250" s="275"/>
      <c r="K250" s="404"/>
      <c r="L250" s="404"/>
      <c r="M250" s="282"/>
      <c r="N250" s="283"/>
      <c r="O250" s="139"/>
      <c r="P250" s="275"/>
      <c r="Q250" s="285"/>
      <c r="R250" s="286"/>
      <c r="S250" s="41"/>
      <c r="T250" s="353"/>
      <c r="U250" s="354"/>
      <c r="AA250" s="58"/>
      <c r="AB250" s="29"/>
      <c r="AC250" s="30"/>
      <c r="AD250" s="31"/>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41"/>
    </row>
    <row r="251" spans="1:59" ht="12.75">
      <c r="A251" s="42"/>
      <c r="B251" s="563"/>
      <c r="C251" s="564" t="s">
        <v>261</v>
      </c>
      <c r="D251" s="45" t="s">
        <v>262</v>
      </c>
      <c r="E251" s="98" t="s">
        <v>263</v>
      </c>
      <c r="F251" s="133"/>
      <c r="G251" s="100" t="s">
        <v>264</v>
      </c>
      <c r="H251" s="101" t="s">
        <v>265</v>
      </c>
      <c r="I251" s="44" t="str">
        <f>R</f>
        <v>Réelle</v>
      </c>
      <c r="J251" s="44" t="s">
        <v>266</v>
      </c>
      <c r="K251" s="225" t="s">
        <v>267</v>
      </c>
      <c r="L251" s="134"/>
      <c r="M251" s="152" t="str">
        <f>"(3)"</f>
        <v>(3)</v>
      </c>
      <c r="N251" s="153"/>
      <c r="O251" s="43" t="str">
        <f>P</f>
        <v>. . .</v>
      </c>
      <c r="P251" s="44" t="str">
        <f>"(3)"</f>
        <v>(3)</v>
      </c>
      <c r="Q251" s="92" t="str">
        <f>"(3)"</f>
        <v>(3)</v>
      </c>
      <c r="R251" s="171" t="str">
        <f>"(3)"</f>
        <v>(3)</v>
      </c>
      <c r="S251" s="41"/>
      <c r="W251" s="57" t="str">
        <f>t</f>
        <v>TVO</v>
      </c>
      <c r="X251" s="57">
        <v>5930</v>
      </c>
      <c r="Y251" s="58">
        <v>9052</v>
      </c>
      <c r="Z251" s="58">
        <v>9308</v>
      </c>
      <c r="AA251" s="58">
        <v>9301</v>
      </c>
      <c r="AB251" s="29"/>
      <c r="AC251" s="30"/>
      <c r="AD251" s="31"/>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41"/>
    </row>
    <row r="252" spans="1:92" s="542" customFormat="1" ht="12.75">
      <c r="A252" s="42"/>
      <c r="B252" s="563"/>
      <c r="C252" s="564" t="s">
        <v>268</v>
      </c>
      <c r="D252" s="278"/>
      <c r="E252" s="463"/>
      <c r="F252" s="41"/>
      <c r="G252" s="571"/>
      <c r="H252" s="571"/>
      <c r="I252" s="275"/>
      <c r="J252" s="275"/>
      <c r="K252" s="404"/>
      <c r="L252" s="404"/>
      <c r="M252" s="282"/>
      <c r="N252" s="283"/>
      <c r="O252" s="139"/>
      <c r="P252" s="275"/>
      <c r="Q252" s="285"/>
      <c r="R252" s="286"/>
      <c r="S252" s="154"/>
      <c r="T252" s="353"/>
      <c r="U252" s="354"/>
      <c r="V252" s="9"/>
      <c r="W252" s="10"/>
      <c r="X252" s="10"/>
      <c r="Y252" s="11"/>
      <c r="Z252" s="11"/>
      <c r="AA252" s="11"/>
      <c r="AB252" s="29"/>
      <c r="AC252" s="30"/>
      <c r="AD252" s="31"/>
      <c r="AE252" s="32"/>
      <c r="AF252" s="32"/>
      <c r="AG252" s="32"/>
      <c r="AH252" s="32"/>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41"/>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row>
    <row r="253" spans="1:59" ht="12.75">
      <c r="A253" s="42"/>
      <c r="B253" s="563"/>
      <c r="C253" s="564" t="s">
        <v>269</v>
      </c>
      <c r="D253" s="278"/>
      <c r="E253" s="279"/>
      <c r="F253" s="41"/>
      <c r="G253" s="280"/>
      <c r="H253" s="280"/>
      <c r="I253" s="275"/>
      <c r="J253" s="275"/>
      <c r="K253" s="281"/>
      <c r="L253" s="404"/>
      <c r="M253" s="282"/>
      <c r="N253" s="283"/>
      <c r="O253" s="139"/>
      <c r="P253" s="275"/>
      <c r="Q253" s="285"/>
      <c r="R253" s="286"/>
      <c r="S253" s="154"/>
      <c r="T253" s="54"/>
      <c r="U253" s="55"/>
      <c r="V253" s="56"/>
      <c r="W253" s="57"/>
      <c r="X253" s="57"/>
      <c r="Y253" s="58"/>
      <c r="Z253" s="58"/>
      <c r="AA253" s="58"/>
      <c r="AB253" s="29"/>
      <c r="AC253" s="29"/>
      <c r="AD253" s="31"/>
      <c r="AE253" s="32"/>
      <c r="AF253" s="32"/>
      <c r="AG253" s="32"/>
      <c r="AH253" s="32"/>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41"/>
    </row>
    <row r="254" spans="1:59" ht="12.75">
      <c r="A254" s="42">
        <v>115</v>
      </c>
      <c r="B254" s="563" t="s">
        <v>270</v>
      </c>
      <c r="C254" s="564" t="s">
        <v>271</v>
      </c>
      <c r="D254" s="45" t="str">
        <f>P</f>
        <v>. . .</v>
      </c>
      <c r="E254" s="98">
        <f>TECpropanebutane</f>
        <v>0.007</v>
      </c>
      <c r="F254" s="133"/>
      <c r="G254" s="100" t="str">
        <f>P</f>
        <v>. . .</v>
      </c>
      <c r="H254" s="101" t="s">
        <v>272</v>
      </c>
      <c r="I254" s="92">
        <f>VFPRO</f>
        <v>30.06</v>
      </c>
      <c r="J254" s="44" t="s">
        <v>273</v>
      </c>
      <c r="K254" s="223">
        <f>ROUND(I254*TECpropanebutane,2)</f>
        <v>0.21</v>
      </c>
      <c r="L254" s="134"/>
      <c r="M254" s="152">
        <f>TIGPSCE</f>
        <v>4.68</v>
      </c>
      <c r="N254" s="153"/>
      <c r="O254" s="154" t="str">
        <f>P</f>
        <v>. . .</v>
      </c>
      <c r="P254" s="92" t="s">
        <v>274</v>
      </c>
      <c r="Q254" s="155">
        <f>SUM(I254:P254)*19.6%</f>
        <v>6.850200000000001</v>
      </c>
      <c r="R254" s="156">
        <f>SUM(I254:P254)*13%</f>
        <v>4.543500000000001</v>
      </c>
      <c r="S254" s="41"/>
      <c r="T254" s="353">
        <v>5721</v>
      </c>
      <c r="U254" s="354"/>
      <c r="W254" s="351">
        <v>5961</v>
      </c>
      <c r="X254" s="10">
        <v>9301</v>
      </c>
      <c r="Y254" s="11">
        <v>9306</v>
      </c>
      <c r="Z254" s="11">
        <v>9308</v>
      </c>
      <c r="AA254" s="11">
        <v>9053</v>
      </c>
      <c r="AB254" s="267"/>
      <c r="AC254" s="30"/>
      <c r="AD254" s="31"/>
      <c r="AE254" s="32"/>
      <c r="AF254" s="32"/>
      <c r="AG254" s="32"/>
      <c r="AH254" s="32"/>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41"/>
    </row>
    <row r="255" spans="1:59" ht="12.75">
      <c r="A255" s="42">
        <v>116</v>
      </c>
      <c r="B255" s="563" t="s">
        <v>275</v>
      </c>
      <c r="C255" s="564" t="s">
        <v>276</v>
      </c>
      <c r="D255" s="45" t="str">
        <f>P</f>
        <v>. . .</v>
      </c>
      <c r="E255" s="430">
        <f>TECpropanebutane</f>
        <v>0.007</v>
      </c>
      <c r="F255" s="133"/>
      <c r="G255" s="100" t="str">
        <f>P</f>
        <v>. . .</v>
      </c>
      <c r="H255" s="101" t="s">
        <v>277</v>
      </c>
      <c r="I255" s="92">
        <f>VFPRO</f>
        <v>30.06</v>
      </c>
      <c r="J255" s="44" t="s">
        <v>278</v>
      </c>
      <c r="K255" s="437">
        <f>ROUND(I255*TECpropanebutane,2)</f>
        <v>0.21</v>
      </c>
      <c r="L255" s="134"/>
      <c r="M255" s="152">
        <f>TIGP</f>
        <v>10.76</v>
      </c>
      <c r="N255" s="153"/>
      <c r="O255" s="154" t="str">
        <f>P</f>
        <v>. . .</v>
      </c>
      <c r="P255" s="92" t="str">
        <f>P</f>
        <v>. . .</v>
      </c>
      <c r="Q255" s="155">
        <f>SUM(I255:P255)*19.6%</f>
        <v>8.04188</v>
      </c>
      <c r="R255" s="156">
        <f>SUM(I255:P255)*13%</f>
        <v>5.333900000000001</v>
      </c>
      <c r="S255" s="43"/>
      <c r="T255" s="353">
        <v>5714</v>
      </c>
      <c r="U255" s="354"/>
      <c r="W255" s="351">
        <v>5962</v>
      </c>
      <c r="X255" s="351"/>
      <c r="Y255" s="11">
        <v>9306</v>
      </c>
      <c r="Z255" s="11">
        <v>9308</v>
      </c>
      <c r="AA255" s="11">
        <v>9301</v>
      </c>
      <c r="AB255" s="29"/>
      <c r="AC255" s="30"/>
      <c r="AD255" s="31"/>
      <c r="AE255" s="32"/>
      <c r="AF255" s="32"/>
      <c r="AG255" s="32"/>
      <c r="AH255" s="32"/>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c r="BD255" s="229"/>
      <c r="BE255" s="229"/>
      <c r="BF255" s="229"/>
      <c r="BG255" s="41"/>
    </row>
    <row r="256" spans="1:60" ht="12.75">
      <c r="A256" s="42">
        <v>117</v>
      </c>
      <c r="B256" s="563" t="s">
        <v>279</v>
      </c>
      <c r="C256" s="564" t="s">
        <v>280</v>
      </c>
      <c r="D256" s="45" t="str">
        <f>P</f>
        <v>. . .</v>
      </c>
      <c r="E256" s="430">
        <f>TECpropanebutane</f>
        <v>0.007</v>
      </c>
      <c r="F256" s="133"/>
      <c r="G256" s="100" t="str">
        <f>P</f>
        <v>. . .</v>
      </c>
      <c r="H256" s="101" t="s">
        <v>281</v>
      </c>
      <c r="I256" s="92">
        <f>VFPRO</f>
        <v>30.06</v>
      </c>
      <c r="J256" s="44" t="s">
        <v>282</v>
      </c>
      <c r="K256" s="223">
        <f>ROUND(I256*TECpropanebutane,2)</f>
        <v>0.21</v>
      </c>
      <c r="L256" s="134"/>
      <c r="M256" s="152" t="s">
        <v>283</v>
      </c>
      <c r="N256" s="153"/>
      <c r="O256" s="154" t="str">
        <f>P</f>
        <v>. . .</v>
      </c>
      <c r="P256" s="92" t="s">
        <v>284</v>
      </c>
      <c r="Q256" s="155">
        <f>SUM(I256:P256)*19.6%</f>
        <v>5.93292</v>
      </c>
      <c r="R256" s="156">
        <f>SUM(I256:P256)*13%</f>
        <v>3.9351000000000003</v>
      </c>
      <c r="S256" s="154"/>
      <c r="W256" s="167">
        <v>5963</v>
      </c>
      <c r="X256" s="351"/>
      <c r="Y256" s="161">
        <v>9308</v>
      </c>
      <c r="Z256" s="161">
        <v>9301</v>
      </c>
      <c r="AA256" s="58"/>
      <c r="AB256" s="29"/>
      <c r="AC256" s="30"/>
      <c r="AD256" s="30"/>
      <c r="AE256" s="31"/>
      <c r="AF256" s="32"/>
      <c r="AG256" s="32"/>
      <c r="AH256" s="32"/>
      <c r="AI256" s="32"/>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41"/>
    </row>
    <row r="257" spans="1:59" ht="12.75">
      <c r="A257" s="42"/>
      <c r="B257" s="563"/>
      <c r="C257" s="564" t="s">
        <v>285</v>
      </c>
      <c r="D257" s="45" t="s">
        <v>286</v>
      </c>
      <c r="E257" s="430"/>
      <c r="F257" s="133"/>
      <c r="G257" s="100"/>
      <c r="H257" s="431"/>
      <c r="I257" s="92"/>
      <c r="J257" s="44"/>
      <c r="K257" s="432"/>
      <c r="L257" s="134"/>
      <c r="M257" s="152"/>
      <c r="N257" s="153"/>
      <c r="O257" s="154"/>
      <c r="P257" s="137"/>
      <c r="Q257" s="137"/>
      <c r="R257" s="138"/>
      <c r="S257" s="41"/>
      <c r="T257" s="157"/>
      <c r="U257" s="158"/>
      <c r="V257" s="159"/>
      <c r="W257" s="160"/>
      <c r="X257" s="160"/>
      <c r="Y257" s="161"/>
      <c r="Z257" s="161"/>
      <c r="AB257" s="29"/>
      <c r="AC257" s="30"/>
      <c r="AD257" s="31"/>
      <c r="AE257" s="32"/>
      <c r="AF257" s="32"/>
      <c r="AG257" s="32"/>
      <c r="AH257" s="32"/>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41"/>
    </row>
    <row r="258" spans="1:59" ht="12.75">
      <c r="A258" s="42">
        <v>118</v>
      </c>
      <c r="B258" s="563" t="s">
        <v>287</v>
      </c>
      <c r="C258" s="564" t="s">
        <v>288</v>
      </c>
      <c r="D258" s="45" t="str">
        <f>P</f>
        <v>. . .</v>
      </c>
      <c r="E258" s="98">
        <f>TECpropanebutane</f>
        <v>0.007</v>
      </c>
      <c r="F258" s="133"/>
      <c r="G258" s="100" t="str">
        <f>P</f>
        <v>. . .</v>
      </c>
      <c r="H258" s="101" t="s">
        <v>289</v>
      </c>
      <c r="I258" s="92">
        <f>VFPRO</f>
        <v>30.06</v>
      </c>
      <c r="J258" s="44" t="s">
        <v>290</v>
      </c>
      <c r="K258" s="437">
        <f>ROUND(I258*TECpropanebutane,2)</f>
        <v>0.21</v>
      </c>
      <c r="L258" s="134"/>
      <c r="M258" s="152">
        <f>TIGPSCE</f>
        <v>4.68</v>
      </c>
      <c r="N258" s="153"/>
      <c r="O258" s="154" t="str">
        <f>P</f>
        <v>. . .</v>
      </c>
      <c r="P258" s="92" t="s">
        <v>291</v>
      </c>
      <c r="Q258" s="155">
        <f>TVAPROSCEmetro</f>
        <v>6.850200000000001</v>
      </c>
      <c r="R258" s="156">
        <f>TVAPROSCEcorse</f>
        <v>4.543500000000001</v>
      </c>
      <c r="S258" s="43"/>
      <c r="T258" s="157">
        <v>5721</v>
      </c>
      <c r="U258" s="158"/>
      <c r="W258" s="167">
        <v>5961</v>
      </c>
      <c r="X258" s="160">
        <v>9301</v>
      </c>
      <c r="Y258" s="161">
        <v>9306</v>
      </c>
      <c r="Z258" s="161">
        <v>9308</v>
      </c>
      <c r="AA258" s="161">
        <v>9053</v>
      </c>
      <c r="AC258" s="30"/>
      <c r="AD258" s="31"/>
      <c r="AE258" s="32"/>
      <c r="AF258" s="32"/>
      <c r="AG258" s="32"/>
      <c r="AH258" s="32"/>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c r="BD258" s="229"/>
      <c r="BE258" s="229"/>
      <c r="BF258" s="229"/>
      <c r="BG258" s="41"/>
    </row>
    <row r="259" spans="1:59" ht="12.75">
      <c r="A259" s="42">
        <v>119</v>
      </c>
      <c r="B259" s="563" t="s">
        <v>292</v>
      </c>
      <c r="C259" s="564" t="s">
        <v>293</v>
      </c>
      <c r="D259" s="45" t="str">
        <f>P</f>
        <v>. . .</v>
      </c>
      <c r="E259" s="430">
        <f>TECpropanebutane</f>
        <v>0.007</v>
      </c>
      <c r="F259" s="133"/>
      <c r="G259" s="100" t="str">
        <f>P</f>
        <v>. . .</v>
      </c>
      <c r="H259" s="101" t="s">
        <v>294</v>
      </c>
      <c r="I259" s="92">
        <f>VFPRO</f>
        <v>30.06</v>
      </c>
      <c r="J259" s="44" t="s">
        <v>295</v>
      </c>
      <c r="K259" s="437">
        <f>ROUND(I259*TECpropanebutane,2)</f>
        <v>0.21</v>
      </c>
      <c r="L259" s="134"/>
      <c r="M259" s="152">
        <f>TIGP</f>
        <v>10.76</v>
      </c>
      <c r="N259" s="153"/>
      <c r="O259" s="154" t="str">
        <f>P</f>
        <v>. . .</v>
      </c>
      <c r="P259" s="92" t="str">
        <f>P</f>
        <v>. . .</v>
      </c>
      <c r="Q259" s="155">
        <f>TVAPROCARBmetro</f>
        <v>8.04188</v>
      </c>
      <c r="R259" s="156">
        <f>TVAPROCARBcorse</f>
        <v>5.333900000000001</v>
      </c>
      <c r="S259" s="41"/>
      <c r="T259" s="24">
        <v>5714</v>
      </c>
      <c r="U259" s="25"/>
      <c r="W259" s="195">
        <v>5962</v>
      </c>
      <c r="X259" s="195"/>
      <c r="Y259" s="28">
        <v>9306</v>
      </c>
      <c r="Z259" s="28">
        <v>9308</v>
      </c>
      <c r="AA259" s="161">
        <v>9301</v>
      </c>
      <c r="AB259" s="29"/>
      <c r="AC259" s="30"/>
      <c r="AD259" s="31"/>
      <c r="AE259" s="32"/>
      <c r="AF259" s="32"/>
      <c r="AG259" s="32"/>
      <c r="AH259" s="32"/>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c r="BD259" s="229"/>
      <c r="BE259" s="229"/>
      <c r="BF259" s="229"/>
      <c r="BG259" s="41"/>
    </row>
    <row r="260" spans="1:92" s="512" customFormat="1" ht="12.75">
      <c r="A260" s="197">
        <v>120</v>
      </c>
      <c r="B260" s="572" t="s">
        <v>296</v>
      </c>
      <c r="C260" s="573" t="s">
        <v>297</v>
      </c>
      <c r="D260" s="200" t="str">
        <f>P</f>
        <v>. . .</v>
      </c>
      <c r="E260" s="201">
        <f>TECpropanebutane</f>
        <v>0.007</v>
      </c>
      <c r="F260" s="202"/>
      <c r="G260" s="203" t="str">
        <f>P</f>
        <v>. . .</v>
      </c>
      <c r="H260" s="204" t="s">
        <v>298</v>
      </c>
      <c r="I260" s="210">
        <f>VFPRO</f>
        <v>30.06</v>
      </c>
      <c r="J260" s="205" t="s">
        <v>299</v>
      </c>
      <c r="K260" s="394">
        <f>ROUND(I260*TECpropanebutane,2)</f>
        <v>0.21</v>
      </c>
      <c r="L260" s="206"/>
      <c r="M260" s="207" t="s">
        <v>300</v>
      </c>
      <c r="N260" s="208"/>
      <c r="O260" s="209" t="str">
        <f>P</f>
        <v>. . .</v>
      </c>
      <c r="P260" s="210" t="s">
        <v>301</v>
      </c>
      <c r="Q260" s="490">
        <f>TVAPROAUTREmetro</f>
        <v>5.93292</v>
      </c>
      <c r="R260" s="554">
        <f>TVAPROAUTREcorse</f>
        <v>3.9351000000000003</v>
      </c>
      <c r="S260" s="500"/>
      <c r="T260" s="501"/>
      <c r="U260" s="502"/>
      <c r="V260" s="503"/>
      <c r="W260" s="504">
        <v>5963</v>
      </c>
      <c r="X260" s="504"/>
      <c r="Y260" s="505">
        <v>9308</v>
      </c>
      <c r="Z260" s="505">
        <v>9301</v>
      </c>
      <c r="AA260" s="505"/>
      <c r="AB260" s="507"/>
      <c r="AC260" s="508"/>
      <c r="AD260" s="509"/>
      <c r="AE260" s="510"/>
      <c r="AF260" s="510"/>
      <c r="AG260" s="510"/>
      <c r="AH260" s="510"/>
      <c r="AI260" s="510"/>
      <c r="AJ260" s="510"/>
      <c r="AK260" s="510"/>
      <c r="AL260" s="510"/>
      <c r="AM260" s="510"/>
      <c r="AN260" s="510"/>
      <c r="AO260" s="510"/>
      <c r="AP260" s="510"/>
      <c r="AQ260" s="510"/>
      <c r="AR260" s="510"/>
      <c r="AS260" s="510"/>
      <c r="AT260" s="510"/>
      <c r="AU260" s="510"/>
      <c r="AV260" s="510"/>
      <c r="AW260" s="510"/>
      <c r="AX260" s="510"/>
      <c r="AY260" s="510"/>
      <c r="AZ260" s="510"/>
      <c r="BA260" s="510"/>
      <c r="BB260" s="510"/>
      <c r="BC260" s="510"/>
      <c r="BD260" s="510"/>
      <c r="BE260" s="510"/>
      <c r="BF260" s="510"/>
      <c r="BG260" s="500"/>
      <c r="BH260" s="511"/>
      <c r="BI260" s="511"/>
      <c r="BJ260" s="511"/>
      <c r="BK260" s="511"/>
      <c r="BL260" s="511"/>
      <c r="BM260" s="511"/>
      <c r="BN260" s="511"/>
      <c r="BO260" s="511"/>
      <c r="BP260" s="511"/>
      <c r="BQ260" s="511"/>
      <c r="BR260" s="511"/>
      <c r="BS260" s="511"/>
      <c r="BT260" s="511"/>
      <c r="BU260" s="511"/>
      <c r="BV260" s="511"/>
      <c r="BW260" s="511"/>
      <c r="BX260" s="511"/>
      <c r="BY260" s="511"/>
      <c r="BZ260" s="511"/>
      <c r="CA260" s="511"/>
      <c r="CB260" s="511"/>
      <c r="CC260" s="511"/>
      <c r="CD260" s="511"/>
      <c r="CE260" s="511"/>
      <c r="CF260" s="511"/>
      <c r="CG260" s="511"/>
      <c r="CH260" s="511"/>
      <c r="CI260" s="511"/>
      <c r="CJ260" s="511"/>
      <c r="CK260" s="511"/>
      <c r="CL260" s="511"/>
      <c r="CM260" s="511"/>
      <c r="CN260" s="511"/>
    </row>
    <row r="261" spans="1:59" ht="12.75">
      <c r="A261" s="42"/>
      <c r="B261" s="563"/>
      <c r="C261" s="568" t="s">
        <v>302</v>
      </c>
      <c r="D261" s="45" t="s">
        <v>303</v>
      </c>
      <c r="E261" s="430"/>
      <c r="F261" s="133"/>
      <c r="G261" s="100"/>
      <c r="H261" s="431"/>
      <c r="I261" s="44"/>
      <c r="J261" s="44"/>
      <c r="K261" s="432"/>
      <c r="L261" s="134"/>
      <c r="M261" s="152"/>
      <c r="N261" s="153"/>
      <c r="O261" s="154"/>
      <c r="P261" s="137"/>
      <c r="Q261" s="137"/>
      <c r="R261" s="138"/>
      <c r="S261" s="166"/>
      <c r="T261" s="157"/>
      <c r="U261" s="158"/>
      <c r="V261" s="159"/>
      <c r="W261" s="160"/>
      <c r="X261" s="160"/>
      <c r="Y261" s="161"/>
      <c r="Z261" s="161"/>
      <c r="AA261" s="161"/>
      <c r="AB261" s="29"/>
      <c r="AC261" s="30"/>
      <c r="AD261" s="31"/>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41"/>
    </row>
    <row r="262" spans="1:59" ht="12.75">
      <c r="A262" s="42">
        <v>121</v>
      </c>
      <c r="B262" s="563" t="s">
        <v>304</v>
      </c>
      <c r="C262" s="568" t="s">
        <v>305</v>
      </c>
      <c r="D262" s="45" t="s">
        <v>306</v>
      </c>
      <c r="E262" s="430" t="s">
        <v>307</v>
      </c>
      <c r="F262" s="133"/>
      <c r="G262" s="100" t="s">
        <v>308</v>
      </c>
      <c r="H262" s="101" t="s">
        <v>309</v>
      </c>
      <c r="I262" s="44" t="str">
        <f>R</f>
        <v>Réelle</v>
      </c>
      <c r="J262" s="44" t="s">
        <v>310</v>
      </c>
      <c r="K262" s="534" t="s">
        <v>311</v>
      </c>
      <c r="L262" s="134"/>
      <c r="M262" s="152" t="str">
        <f>"(3)"</f>
        <v>(3)</v>
      </c>
      <c r="N262" s="153"/>
      <c r="O262" s="43" t="str">
        <f>P</f>
        <v>. . .</v>
      </c>
      <c r="P262" s="44" t="str">
        <f>"(3)"</f>
        <v>(3)</v>
      </c>
      <c r="Q262" s="92" t="str">
        <f>"(3)"</f>
        <v>(3)</v>
      </c>
      <c r="R262" s="171" t="str">
        <f>"(3)"</f>
        <v>(3)</v>
      </c>
      <c r="S262" s="166"/>
      <c r="W262" s="160" t="str">
        <f>t</f>
        <v>TVO</v>
      </c>
      <c r="X262" s="160">
        <v>5930</v>
      </c>
      <c r="Y262" s="161">
        <v>9052</v>
      </c>
      <c r="Z262" s="161">
        <v>9308</v>
      </c>
      <c r="AA262" s="28">
        <v>9301</v>
      </c>
      <c r="AB262" s="29"/>
      <c r="AC262" s="30"/>
      <c r="AD262" s="31"/>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41"/>
    </row>
    <row r="263" spans="1:59" ht="12.75">
      <c r="A263" s="42">
        <v>122</v>
      </c>
      <c r="B263" s="563" t="s">
        <v>312</v>
      </c>
      <c r="C263" s="568" t="s">
        <v>313</v>
      </c>
      <c r="D263" s="45"/>
      <c r="E263" s="430"/>
      <c r="F263" s="133"/>
      <c r="G263" s="100"/>
      <c r="H263" s="431"/>
      <c r="I263" s="44"/>
      <c r="J263" s="44"/>
      <c r="K263" s="432"/>
      <c r="L263" s="134"/>
      <c r="M263" s="152"/>
      <c r="N263" s="153"/>
      <c r="O263" s="154"/>
      <c r="P263" s="137"/>
      <c r="Q263" s="92"/>
      <c r="R263" s="171"/>
      <c r="S263" s="166"/>
      <c r="T263" s="24"/>
      <c r="U263" s="25"/>
      <c r="V263" s="26"/>
      <c r="W263" s="27"/>
      <c r="X263" s="27"/>
      <c r="Y263" s="28"/>
      <c r="Z263" s="28"/>
      <c r="AA263" s="161"/>
      <c r="AB263" s="29"/>
      <c r="AC263" s="30"/>
      <c r="AD263" s="31"/>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41"/>
    </row>
    <row r="264" spans="1:59" ht="12.75">
      <c r="A264" s="42"/>
      <c r="B264" s="563"/>
      <c r="C264" s="568" t="s">
        <v>314</v>
      </c>
      <c r="D264" s="45" t="s">
        <v>315</v>
      </c>
      <c r="E264" s="430" t="s">
        <v>316</v>
      </c>
      <c r="F264" s="133"/>
      <c r="G264" s="100" t="s">
        <v>317</v>
      </c>
      <c r="H264" s="101" t="s">
        <v>318</v>
      </c>
      <c r="I264" s="44" t="str">
        <f>R</f>
        <v>Réelle</v>
      </c>
      <c r="J264" s="44" t="s">
        <v>319</v>
      </c>
      <c r="K264" s="534" t="s">
        <v>320</v>
      </c>
      <c r="L264" s="134"/>
      <c r="M264" s="152" t="str">
        <f>"(3)"</f>
        <v>(3)</v>
      </c>
      <c r="N264" s="153"/>
      <c r="O264" s="43" t="str">
        <f>P</f>
        <v>. . .</v>
      </c>
      <c r="P264" s="44" t="str">
        <f>"(3)"</f>
        <v>(3)</v>
      </c>
      <c r="Q264" s="92" t="str">
        <f>"(3)"</f>
        <v>(3)</v>
      </c>
      <c r="R264" s="171" t="str">
        <f>"(3)"</f>
        <v>(3)</v>
      </c>
      <c r="S264" s="23"/>
      <c r="W264" s="160" t="str">
        <f>t</f>
        <v>TVO</v>
      </c>
      <c r="X264" s="160">
        <v>5930</v>
      </c>
      <c r="Y264" s="161">
        <v>9052</v>
      </c>
      <c r="Z264" s="161">
        <v>9308</v>
      </c>
      <c r="AA264" s="161">
        <v>9301</v>
      </c>
      <c r="AB264" s="227"/>
      <c r="AC264" s="30"/>
      <c r="AD264" s="31"/>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41"/>
    </row>
    <row r="265" spans="1:59" ht="12.75">
      <c r="A265" s="42"/>
      <c r="B265" s="563"/>
      <c r="C265" s="568" t="s">
        <v>321</v>
      </c>
      <c r="D265" s="45"/>
      <c r="E265" s="98"/>
      <c r="F265" s="133"/>
      <c r="G265" s="100"/>
      <c r="H265" s="431"/>
      <c r="I265" s="44"/>
      <c r="J265" s="44"/>
      <c r="K265" s="134"/>
      <c r="L265" s="134"/>
      <c r="M265" s="152"/>
      <c r="N265" s="153"/>
      <c r="O265" s="154"/>
      <c r="P265" s="137"/>
      <c r="Q265" s="92"/>
      <c r="R265" s="171"/>
      <c r="S265" s="166"/>
      <c r="T265" s="54"/>
      <c r="U265" s="55"/>
      <c r="V265" s="56"/>
      <c r="W265" s="57"/>
      <c r="X265" s="57"/>
      <c r="Y265" s="58"/>
      <c r="Z265" s="58"/>
      <c r="AA265" s="161"/>
      <c r="AB265" s="29"/>
      <c r="AC265" s="30"/>
      <c r="AD265" s="31"/>
      <c r="AE265" s="32"/>
      <c r="AF265" s="32"/>
      <c r="AG265" s="32"/>
      <c r="AH265" s="32"/>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c r="BD265" s="229"/>
      <c r="BE265" s="229"/>
      <c r="BF265" s="229"/>
      <c r="BG265" s="41"/>
    </row>
    <row r="266" spans="1:59" ht="12.75">
      <c r="A266" s="42"/>
      <c r="B266" s="563"/>
      <c r="C266" s="564" t="s">
        <v>322</v>
      </c>
      <c r="D266" s="278"/>
      <c r="E266" s="279"/>
      <c r="F266" s="41"/>
      <c r="G266" s="280"/>
      <c r="H266" s="280"/>
      <c r="I266" s="275"/>
      <c r="J266" s="275"/>
      <c r="K266" s="281"/>
      <c r="L266" s="404"/>
      <c r="M266" s="282"/>
      <c r="N266" s="283"/>
      <c r="O266" s="139"/>
      <c r="P266" s="275"/>
      <c r="Q266" s="285"/>
      <c r="R266" s="286"/>
      <c r="S266" s="166"/>
      <c r="T266" s="54"/>
      <c r="U266" s="55"/>
      <c r="V266" s="56"/>
      <c r="W266" s="57"/>
      <c r="X266" s="57"/>
      <c r="Y266" s="58"/>
      <c r="Z266" s="58"/>
      <c r="AA266" s="28"/>
      <c r="AB266" s="29"/>
      <c r="AC266" s="30"/>
      <c r="AD266" s="31"/>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41"/>
    </row>
    <row r="267" spans="1:59" ht="12.75">
      <c r="A267" s="42">
        <v>123</v>
      </c>
      <c r="B267" s="563" t="s">
        <v>323</v>
      </c>
      <c r="C267" s="564" t="s">
        <v>324</v>
      </c>
      <c r="D267" s="45" t="str">
        <f>P</f>
        <v>. . .</v>
      </c>
      <c r="E267" s="98">
        <f>TECpropanebutane</f>
        <v>0.007</v>
      </c>
      <c r="F267" s="133"/>
      <c r="G267" s="100" t="str">
        <f>P</f>
        <v>. . .</v>
      </c>
      <c r="H267" s="101" t="s">
        <v>325</v>
      </c>
      <c r="I267" s="92">
        <f>VFBUT</f>
        <v>28.84</v>
      </c>
      <c r="J267" s="44" t="s">
        <v>326</v>
      </c>
      <c r="K267" s="437">
        <f>ROUND(I267*TECpropanebutane,2)</f>
        <v>0.2</v>
      </c>
      <c r="L267" s="134"/>
      <c r="M267" s="152">
        <f>TIGPSCE</f>
        <v>4.68</v>
      </c>
      <c r="N267" s="153"/>
      <c r="O267" s="154" t="str">
        <f>P</f>
        <v>. . .</v>
      </c>
      <c r="P267" s="92" t="s">
        <v>327</v>
      </c>
      <c r="Q267" s="155">
        <f>SUM(I267:P267)*19.6%</f>
        <v>6.60912</v>
      </c>
      <c r="R267" s="156">
        <f>SUM(I267:P267)*13%</f>
        <v>4.3836</v>
      </c>
      <c r="S267" s="166"/>
      <c r="T267" s="54">
        <v>5721</v>
      </c>
      <c r="U267" s="55"/>
      <c r="W267" s="258">
        <v>5927</v>
      </c>
      <c r="X267" s="57">
        <v>9301</v>
      </c>
      <c r="Y267" s="58">
        <v>9053</v>
      </c>
      <c r="Z267" s="58">
        <v>9306</v>
      </c>
      <c r="AA267" s="58">
        <v>9308</v>
      </c>
      <c r="AB267" s="29"/>
      <c r="AC267" s="30"/>
      <c r="AD267" s="31"/>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41"/>
    </row>
    <row r="268" spans="1:59" ht="12.75">
      <c r="A268" s="42">
        <v>124</v>
      </c>
      <c r="B268" s="563" t="s">
        <v>328</v>
      </c>
      <c r="C268" s="564" t="s">
        <v>329</v>
      </c>
      <c r="D268" s="45" t="str">
        <f>P</f>
        <v>. . .</v>
      </c>
      <c r="E268" s="430">
        <f>TECpropanebutane</f>
        <v>0.007</v>
      </c>
      <c r="F268" s="133"/>
      <c r="G268" s="100" t="str">
        <f>P</f>
        <v>. . .</v>
      </c>
      <c r="H268" s="101" t="s">
        <v>330</v>
      </c>
      <c r="I268" s="92">
        <f>VFBUT</f>
        <v>28.84</v>
      </c>
      <c r="J268" s="44" t="s">
        <v>331</v>
      </c>
      <c r="K268" s="437">
        <f>ROUND(I268*TECpropanebutane,2)</f>
        <v>0.2</v>
      </c>
      <c r="L268" s="134"/>
      <c r="M268" s="152">
        <f>TIGP</f>
        <v>10.76</v>
      </c>
      <c r="N268" s="153"/>
      <c r="O268" s="154" t="str">
        <f>P</f>
        <v>. . .</v>
      </c>
      <c r="P268" s="92" t="str">
        <f>P</f>
        <v>. . .</v>
      </c>
      <c r="Q268" s="155">
        <f>SUM(I268:P268)*19.6%</f>
        <v>7.8008</v>
      </c>
      <c r="R268" s="156">
        <f>SUM(I268:P268)*13%</f>
        <v>5.1739999999999995</v>
      </c>
      <c r="S268" s="23"/>
      <c r="T268" s="353">
        <v>5714</v>
      </c>
      <c r="U268" s="354"/>
      <c r="W268" s="351">
        <v>5914</v>
      </c>
      <c r="X268" s="258"/>
      <c r="Y268" s="11">
        <v>9306</v>
      </c>
      <c r="Z268" s="11">
        <v>9308</v>
      </c>
      <c r="AA268" s="58">
        <v>9301</v>
      </c>
      <c r="AB268" s="29"/>
      <c r="AC268" s="30"/>
      <c r="AD268" s="31"/>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41"/>
    </row>
    <row r="269" spans="1:59" ht="12.75">
      <c r="A269" s="42">
        <v>125</v>
      </c>
      <c r="B269" s="563" t="s">
        <v>332</v>
      </c>
      <c r="C269" s="564" t="s">
        <v>333</v>
      </c>
      <c r="D269" s="45" t="str">
        <f>P</f>
        <v>. . .</v>
      </c>
      <c r="E269" s="430">
        <f>TECpropanebutane</f>
        <v>0.007</v>
      </c>
      <c r="F269" s="133"/>
      <c r="G269" s="100" t="str">
        <f>P</f>
        <v>. . .</v>
      </c>
      <c r="H269" s="101" t="s">
        <v>334</v>
      </c>
      <c r="I269" s="92">
        <f>VFBUT</f>
        <v>28.84</v>
      </c>
      <c r="J269" s="44" t="s">
        <v>335</v>
      </c>
      <c r="K269" s="223">
        <f>ROUND(I269*TECpropanebutane,2)</f>
        <v>0.2</v>
      </c>
      <c r="L269" s="134"/>
      <c r="M269" s="152" t="s">
        <v>336</v>
      </c>
      <c r="N269" s="153"/>
      <c r="O269" s="154" t="str">
        <f>P</f>
        <v>. . .</v>
      </c>
      <c r="P269" s="92" t="s">
        <v>337</v>
      </c>
      <c r="Q269" s="155">
        <f>SUM(I269:P269)*19.6%</f>
        <v>5.69184</v>
      </c>
      <c r="R269" s="156">
        <f>SUM(I269:P269)*13%</f>
        <v>3.7752</v>
      </c>
      <c r="S269" s="43"/>
      <c r="W269" s="167">
        <v>5913</v>
      </c>
      <c r="X269" s="258"/>
      <c r="Y269" s="161">
        <v>9308</v>
      </c>
      <c r="Z269" s="161">
        <v>9301</v>
      </c>
      <c r="AA269" s="58"/>
      <c r="AB269" s="227"/>
      <c r="AC269" s="30"/>
      <c r="AD269" s="31"/>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41"/>
    </row>
    <row r="270" spans="1:59" ht="12.75">
      <c r="A270" s="42"/>
      <c r="B270" s="563"/>
      <c r="C270" s="564" t="s">
        <v>338</v>
      </c>
      <c r="D270" s="45"/>
      <c r="E270" s="98"/>
      <c r="F270" s="133"/>
      <c r="G270" s="429"/>
      <c r="H270" s="431"/>
      <c r="I270" s="44"/>
      <c r="J270" s="44"/>
      <c r="K270" s="134"/>
      <c r="L270" s="134"/>
      <c r="M270" s="152"/>
      <c r="N270" s="153"/>
      <c r="O270" s="154"/>
      <c r="P270" s="155"/>
      <c r="Q270" s="137"/>
      <c r="R270" s="138"/>
      <c r="S270" s="43"/>
      <c r="T270" s="157"/>
      <c r="U270" s="158"/>
      <c r="V270" s="159"/>
      <c r="W270" s="160"/>
      <c r="X270" s="160"/>
      <c r="Y270" s="161"/>
      <c r="Z270" s="161"/>
      <c r="AA270" s="58"/>
      <c r="AB270" s="29"/>
      <c r="AC270" s="30"/>
      <c r="AD270" s="31"/>
      <c r="AE270" s="32"/>
      <c r="AF270" s="32"/>
      <c r="AG270" s="32"/>
      <c r="AH270" s="32"/>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41"/>
    </row>
    <row r="271" spans="1:59" ht="12.75">
      <c r="A271" s="42">
        <v>126</v>
      </c>
      <c r="B271" s="563" t="s">
        <v>339</v>
      </c>
      <c r="C271" s="564" t="s">
        <v>340</v>
      </c>
      <c r="D271" s="45" t="str">
        <f>P</f>
        <v>. . .</v>
      </c>
      <c r="E271" s="98">
        <f>TECpropanebutane</f>
        <v>0.007</v>
      </c>
      <c r="F271" s="133"/>
      <c r="G271" s="100" t="str">
        <f>P</f>
        <v>. . .</v>
      </c>
      <c r="H271" s="101" t="s">
        <v>341</v>
      </c>
      <c r="I271" s="92">
        <f>VFBUT</f>
        <v>28.84</v>
      </c>
      <c r="J271" s="44" t="s">
        <v>342</v>
      </c>
      <c r="K271" s="437">
        <f>ROUND(I271*TECpropanebutane,2)</f>
        <v>0.2</v>
      </c>
      <c r="L271" s="134"/>
      <c r="M271" s="152">
        <f>TIGPSCE</f>
        <v>4.68</v>
      </c>
      <c r="N271" s="153"/>
      <c r="O271" s="154" t="str">
        <f>P</f>
        <v>. . .</v>
      </c>
      <c r="P271" s="92" t="s">
        <v>343</v>
      </c>
      <c r="Q271" s="155">
        <f>TVABUTSCEmetro</f>
        <v>6.60912</v>
      </c>
      <c r="R271" s="156">
        <f>TVABUTSCEcorse</f>
        <v>4.3836</v>
      </c>
      <c r="S271" s="43"/>
      <c r="T271" s="157">
        <v>5721</v>
      </c>
      <c r="U271" s="158"/>
      <c r="W271" s="167">
        <v>5927</v>
      </c>
      <c r="X271" s="160">
        <v>9301</v>
      </c>
      <c r="Y271" s="161">
        <v>9053</v>
      </c>
      <c r="Z271" s="161">
        <v>9306</v>
      </c>
      <c r="AA271" s="161">
        <v>9308</v>
      </c>
      <c r="AB271" s="29"/>
      <c r="AC271" s="30"/>
      <c r="AD271" s="31"/>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41"/>
    </row>
    <row r="272" spans="1:59" ht="12.75">
      <c r="A272" s="42">
        <v>127</v>
      </c>
      <c r="B272" s="563" t="s">
        <v>344</v>
      </c>
      <c r="C272" s="564" t="s">
        <v>345</v>
      </c>
      <c r="D272" s="45" t="str">
        <f>P</f>
        <v>. . .</v>
      </c>
      <c r="E272" s="430">
        <f>TECpropanebutane</f>
        <v>0.007</v>
      </c>
      <c r="F272" s="133"/>
      <c r="G272" s="100" t="str">
        <f>P</f>
        <v>. . .</v>
      </c>
      <c r="H272" s="101" t="s">
        <v>346</v>
      </c>
      <c r="I272" s="92">
        <f>VFBUT</f>
        <v>28.84</v>
      </c>
      <c r="J272" s="44" t="s">
        <v>347</v>
      </c>
      <c r="K272" s="223">
        <f>ROUND(I272*TECpropanebutane,2)</f>
        <v>0.2</v>
      </c>
      <c r="L272" s="134"/>
      <c r="M272" s="152">
        <f>TIGP</f>
        <v>10.76</v>
      </c>
      <c r="N272" s="153"/>
      <c r="O272" s="154" t="str">
        <f>P</f>
        <v>. . .</v>
      </c>
      <c r="P272" s="92" t="str">
        <f>P</f>
        <v>. . .</v>
      </c>
      <c r="Q272" s="155">
        <f>TVABUTCARBmetro</f>
        <v>7.8008</v>
      </c>
      <c r="R272" s="156">
        <f>TVABUTCARBcorse</f>
        <v>5.1739999999999995</v>
      </c>
      <c r="S272" s="43"/>
      <c r="T272" s="24">
        <v>5714</v>
      </c>
      <c r="U272" s="25"/>
      <c r="W272" s="195">
        <v>5914</v>
      </c>
      <c r="X272" s="195"/>
      <c r="Y272" s="28">
        <v>9306</v>
      </c>
      <c r="Z272" s="28">
        <v>9308</v>
      </c>
      <c r="AA272" s="161">
        <v>9301</v>
      </c>
      <c r="AB272" s="29"/>
      <c r="AC272" s="30"/>
      <c r="AD272" s="31"/>
      <c r="AE272" s="32"/>
      <c r="AF272" s="32"/>
      <c r="AG272" s="32"/>
      <c r="AH272" s="229"/>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c r="BD272" s="229"/>
      <c r="BE272" s="229"/>
      <c r="BF272" s="229"/>
      <c r="BG272" s="41"/>
    </row>
    <row r="273" spans="1:59" ht="12.75">
      <c r="A273" s="42">
        <v>128</v>
      </c>
      <c r="B273" s="563" t="s">
        <v>348</v>
      </c>
      <c r="C273" s="564" t="s">
        <v>349</v>
      </c>
      <c r="D273" s="45" t="str">
        <f>P</f>
        <v>. . .</v>
      </c>
      <c r="E273" s="430">
        <f>TECpropanebutane</f>
        <v>0.007</v>
      </c>
      <c r="F273" s="133"/>
      <c r="G273" s="100" t="str">
        <f>P</f>
        <v>. . .</v>
      </c>
      <c r="H273" s="101" t="str">
        <f>P</f>
        <v>. . .</v>
      </c>
      <c r="I273" s="92">
        <f>VFBUT</f>
        <v>28.84</v>
      </c>
      <c r="J273" s="44" t="s">
        <v>350</v>
      </c>
      <c r="K273" s="223">
        <f>ROUND(I273*TECpropanebutane,2)</f>
        <v>0.2</v>
      </c>
      <c r="L273" s="134"/>
      <c r="M273" s="152" t="s">
        <v>351</v>
      </c>
      <c r="N273" s="153"/>
      <c r="O273" s="154" t="str">
        <f>P</f>
        <v>. . .</v>
      </c>
      <c r="P273" s="92" t="str">
        <f>P</f>
        <v>. . .</v>
      </c>
      <c r="Q273" s="155">
        <f>TVABUTAUTREmetro</f>
        <v>5.69184</v>
      </c>
      <c r="R273" s="156">
        <f>TVABUTAUTREcorse</f>
        <v>3.7752</v>
      </c>
      <c r="S273" s="41"/>
      <c r="W273" s="167">
        <v>5913</v>
      </c>
      <c r="X273" s="167"/>
      <c r="Y273" s="161">
        <v>9308</v>
      </c>
      <c r="Z273" s="161">
        <v>9301</v>
      </c>
      <c r="AA273" s="161"/>
      <c r="AB273" s="227"/>
      <c r="AC273" s="30"/>
      <c r="AD273" s="31"/>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41"/>
    </row>
    <row r="274" spans="1:59" ht="12.75">
      <c r="A274" s="42">
        <v>129</v>
      </c>
      <c r="B274" s="563" t="s">
        <v>352</v>
      </c>
      <c r="C274" s="568" t="s">
        <v>353</v>
      </c>
      <c r="D274" s="45" t="str">
        <f>P</f>
        <v>. . .</v>
      </c>
      <c r="E274" s="98" t="s">
        <v>354</v>
      </c>
      <c r="F274" s="133"/>
      <c r="G274" s="100" t="str">
        <f>P</f>
        <v>. . .</v>
      </c>
      <c r="H274" s="101" t="str">
        <f>P</f>
        <v>. . .</v>
      </c>
      <c r="I274" s="44" t="str">
        <f>R</f>
        <v>Réelle</v>
      </c>
      <c r="J274" s="44" t="str">
        <f>P</f>
        <v>. . .</v>
      </c>
      <c r="K274" s="225" t="s">
        <v>355</v>
      </c>
      <c r="L274" s="134"/>
      <c r="M274" s="152" t="s">
        <v>356</v>
      </c>
      <c r="N274" s="153"/>
      <c r="O274" s="154" t="str">
        <f>P</f>
        <v>. . .</v>
      </c>
      <c r="P274" s="92" t="str">
        <f>P</f>
        <v>. . .</v>
      </c>
      <c r="Q274" s="92" t="str">
        <f>VI</f>
        <v>(25)</v>
      </c>
      <c r="R274" s="171" t="str">
        <f>VI</f>
        <v>(25)</v>
      </c>
      <c r="S274" s="166"/>
      <c r="W274" s="160" t="str">
        <f>t</f>
        <v>TVO</v>
      </c>
      <c r="X274" s="160">
        <v>5930</v>
      </c>
      <c r="Y274" s="161">
        <v>9348</v>
      </c>
      <c r="Z274" s="161">
        <v>9301</v>
      </c>
      <c r="AA274" s="161"/>
      <c r="AB274" s="29"/>
      <c r="AC274" s="30"/>
      <c r="AD274" s="31"/>
      <c r="AE274" s="32"/>
      <c r="AF274" s="32"/>
      <c r="AG274" s="32"/>
      <c r="AH274" s="32"/>
      <c r="AI274" s="229"/>
      <c r="AJ274" s="229"/>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41"/>
    </row>
    <row r="275" spans="1:92" s="542" customFormat="1" ht="12.75">
      <c r="A275" s="42"/>
      <c r="B275" s="563"/>
      <c r="C275" s="568" t="s">
        <v>357</v>
      </c>
      <c r="D275" s="45"/>
      <c r="E275" s="98"/>
      <c r="F275" s="133"/>
      <c r="G275" s="100"/>
      <c r="H275" s="101"/>
      <c r="I275" s="92"/>
      <c r="J275" s="44"/>
      <c r="K275" s="134"/>
      <c r="L275" s="134"/>
      <c r="M275" s="152"/>
      <c r="N275" s="153"/>
      <c r="O275" s="154"/>
      <c r="P275" s="92"/>
      <c r="Q275" s="155"/>
      <c r="R275" s="156"/>
      <c r="S275" s="166"/>
      <c r="T275" s="157"/>
      <c r="U275" s="158"/>
      <c r="V275" s="159"/>
      <c r="W275" s="160"/>
      <c r="X275" s="160"/>
      <c r="Y275" s="161"/>
      <c r="Z275" s="161"/>
      <c r="AA275" s="28"/>
      <c r="AB275" s="29"/>
      <c r="AC275" s="30"/>
      <c r="AD275" s="272"/>
      <c r="AE275" s="229"/>
      <c r="AF275" s="229"/>
      <c r="AG275" s="229"/>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41"/>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row>
    <row r="276" spans="1:59" ht="12.75">
      <c r="A276" s="42">
        <v>130</v>
      </c>
      <c r="B276" s="563" t="s">
        <v>358</v>
      </c>
      <c r="C276" s="568" t="s">
        <v>359</v>
      </c>
      <c r="D276" s="45" t="str">
        <f>P</f>
        <v>. . .</v>
      </c>
      <c r="E276" s="98" t="s">
        <v>360</v>
      </c>
      <c r="F276" s="133"/>
      <c r="G276" s="100" t="str">
        <f>P</f>
        <v>. . .</v>
      </c>
      <c r="H276" s="101" t="str">
        <f>P</f>
        <v>. . .</v>
      </c>
      <c r="I276" s="92">
        <f>VFBUT</f>
        <v>28.84</v>
      </c>
      <c r="J276" s="44" t="s">
        <v>361</v>
      </c>
      <c r="K276" s="223" t="s">
        <v>362</v>
      </c>
      <c r="L276" s="134"/>
      <c r="M276" s="152">
        <f>TIGPSCE</f>
        <v>4.68</v>
      </c>
      <c r="N276" s="153"/>
      <c r="O276" s="154" t="str">
        <f>P</f>
        <v>. . .</v>
      </c>
      <c r="P276" s="92" t="s">
        <v>363</v>
      </c>
      <c r="Q276" s="155">
        <f>TVABUTSCEmetro</f>
        <v>6.60912</v>
      </c>
      <c r="R276" s="156">
        <f>TVABUTSCEcorse</f>
        <v>4.3836</v>
      </c>
      <c r="S276" s="166"/>
      <c r="T276" s="157">
        <v>5721</v>
      </c>
      <c r="U276" s="158"/>
      <c r="W276" s="167">
        <v>5927</v>
      </c>
      <c r="X276" s="160">
        <v>9301</v>
      </c>
      <c r="Y276" s="161">
        <v>9053</v>
      </c>
      <c r="Z276" s="161">
        <v>9306</v>
      </c>
      <c r="AA276" s="161">
        <v>9308</v>
      </c>
      <c r="AB276" s="29"/>
      <c r="AC276" s="30"/>
      <c r="AD276" s="272"/>
      <c r="AE276" s="229"/>
      <c r="AF276" s="229"/>
      <c r="AG276" s="229"/>
      <c r="AH276" s="229"/>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41"/>
    </row>
    <row r="277" spans="1:59" ht="12.75">
      <c r="A277" s="42">
        <v>131</v>
      </c>
      <c r="B277" s="563" t="s">
        <v>364</v>
      </c>
      <c r="C277" s="568" t="s">
        <v>365</v>
      </c>
      <c r="D277" s="45" t="str">
        <f>P</f>
        <v>. . .</v>
      </c>
      <c r="E277" s="98" t="s">
        <v>366</v>
      </c>
      <c r="F277" s="133"/>
      <c r="G277" s="100" t="str">
        <f>P</f>
        <v>. . .</v>
      </c>
      <c r="H277" s="101" t="str">
        <f>P</f>
        <v>. . .</v>
      </c>
      <c r="I277" s="92">
        <f>VFBUT</f>
        <v>28.84</v>
      </c>
      <c r="J277" s="44" t="s">
        <v>367</v>
      </c>
      <c r="K277" s="223" t="s">
        <v>368</v>
      </c>
      <c r="L277" s="134"/>
      <c r="M277" s="152">
        <f>TIGP</f>
        <v>10.76</v>
      </c>
      <c r="N277" s="153"/>
      <c r="O277" s="154" t="str">
        <f>P</f>
        <v>. . .</v>
      </c>
      <c r="P277" s="92" t="str">
        <f>P</f>
        <v>. . .</v>
      </c>
      <c r="Q277" s="155">
        <f>TVABUTCARBmetro</f>
        <v>7.8008</v>
      </c>
      <c r="R277" s="156">
        <f>TVABUTCARBcorse</f>
        <v>5.1739999999999995</v>
      </c>
      <c r="S277" s="23"/>
      <c r="T277" s="24">
        <v>5714</v>
      </c>
      <c r="U277" s="25"/>
      <c r="W277" s="195">
        <v>5914</v>
      </c>
      <c r="X277" s="195"/>
      <c r="Y277" s="28">
        <v>9306</v>
      </c>
      <c r="Z277" s="28">
        <v>9308</v>
      </c>
      <c r="AA277" s="28">
        <v>9301</v>
      </c>
      <c r="AB277" s="29"/>
      <c r="AC277" s="30"/>
      <c r="AD277" s="31"/>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41"/>
    </row>
    <row r="278" spans="1:59" ht="12.75">
      <c r="A278" s="42">
        <v>132</v>
      </c>
      <c r="B278" s="563" t="s">
        <v>369</v>
      </c>
      <c r="C278" s="568" t="s">
        <v>370</v>
      </c>
      <c r="D278" s="45" t="s">
        <v>371</v>
      </c>
      <c r="E278" s="98" t="s">
        <v>372</v>
      </c>
      <c r="F278" s="133"/>
      <c r="G278" s="100" t="s">
        <v>373</v>
      </c>
      <c r="H278" s="101" t="s">
        <v>374</v>
      </c>
      <c r="I278" s="44" t="str">
        <f>R</f>
        <v>Réelle</v>
      </c>
      <c r="J278" s="44" t="s">
        <v>375</v>
      </c>
      <c r="K278" s="225" t="s">
        <v>376</v>
      </c>
      <c r="L278" s="134"/>
      <c r="M278" s="152" t="s">
        <v>377</v>
      </c>
      <c r="N278" s="153"/>
      <c r="O278" s="154" t="str">
        <f>P</f>
        <v>. . .</v>
      </c>
      <c r="P278" s="92" t="s">
        <v>378</v>
      </c>
      <c r="Q278" s="92" t="str">
        <f>VI</f>
        <v>(25)</v>
      </c>
      <c r="R278" s="171" t="str">
        <f>VI</f>
        <v>(25)</v>
      </c>
      <c r="S278" s="166"/>
      <c r="W278" s="160" t="str">
        <f>t</f>
        <v>TVO</v>
      </c>
      <c r="X278" s="160"/>
      <c r="Y278" s="161">
        <v>5930</v>
      </c>
      <c r="Z278" s="161">
        <v>9308</v>
      </c>
      <c r="AA278" s="161">
        <v>9301</v>
      </c>
      <c r="AB278" s="29"/>
      <c r="AC278" s="30"/>
      <c r="AD278" s="272"/>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c r="BD278" s="229"/>
      <c r="BE278" s="229"/>
      <c r="BF278" s="229"/>
      <c r="BG278" s="41"/>
    </row>
    <row r="279" spans="1:59" ht="12.75">
      <c r="A279" s="42"/>
      <c r="B279" s="563"/>
      <c r="C279" s="567" t="s">
        <v>379</v>
      </c>
      <c r="D279" s="45"/>
      <c r="E279" s="98"/>
      <c r="F279" s="133"/>
      <c r="G279" s="100"/>
      <c r="H279" s="101"/>
      <c r="I279" s="44"/>
      <c r="J279" s="44"/>
      <c r="K279" s="134"/>
      <c r="L279" s="134"/>
      <c r="M279" s="152"/>
      <c r="N279" s="153"/>
      <c r="O279" s="154"/>
      <c r="P279" s="92"/>
      <c r="Q279" s="92"/>
      <c r="R279" s="171"/>
      <c r="S279" s="166"/>
      <c r="T279" s="157"/>
      <c r="U279" s="158"/>
      <c r="V279" s="159"/>
      <c r="W279" s="160"/>
      <c r="X279" s="160"/>
      <c r="Y279" s="161"/>
      <c r="Z279" s="161"/>
      <c r="AA279" s="58"/>
      <c r="AB279" s="29"/>
      <c r="AC279" s="30"/>
      <c r="AD279" s="31"/>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41"/>
    </row>
    <row r="280" spans="1:59" ht="12.75">
      <c r="A280" s="42"/>
      <c r="B280" s="563"/>
      <c r="C280" s="564" t="s">
        <v>380</v>
      </c>
      <c r="D280" s="45"/>
      <c r="E280" s="430"/>
      <c r="F280" s="133"/>
      <c r="G280" s="100"/>
      <c r="H280" s="101"/>
      <c r="I280" s="44"/>
      <c r="J280" s="44"/>
      <c r="K280" s="432"/>
      <c r="L280" s="134"/>
      <c r="M280" s="152"/>
      <c r="N280" s="153"/>
      <c r="O280" s="154"/>
      <c r="P280" s="92"/>
      <c r="Q280" s="137"/>
      <c r="R280" s="138"/>
      <c r="S280" s="166"/>
      <c r="T280" s="54"/>
      <c r="U280" s="55"/>
      <c r="V280" s="56"/>
      <c r="W280" s="57"/>
      <c r="X280" s="57"/>
      <c r="Y280" s="58"/>
      <c r="Z280" s="58"/>
      <c r="AA280" s="161"/>
      <c r="AB280" s="29"/>
      <c r="AC280" s="30"/>
      <c r="AD280" s="31"/>
      <c r="AE280" s="32"/>
      <c r="AF280" s="32"/>
      <c r="AG280" s="32"/>
      <c r="AH280" s="229"/>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41"/>
    </row>
    <row r="281" spans="1:59" s="5" customFormat="1" ht="12.75">
      <c r="A281" s="42">
        <v>133</v>
      </c>
      <c r="B281" s="23" t="s">
        <v>381</v>
      </c>
      <c r="C281" s="86" t="s">
        <v>382</v>
      </c>
      <c r="D281" s="44" t="s">
        <v>383</v>
      </c>
      <c r="E281" s="98" t="s">
        <v>384</v>
      </c>
      <c r="F281" s="133"/>
      <c r="G281" s="194" t="s">
        <v>385</v>
      </c>
      <c r="H281" s="43" t="s">
        <v>386</v>
      </c>
      <c r="I281" s="92">
        <v>4.5</v>
      </c>
      <c r="J281" s="44" t="s">
        <v>387</v>
      </c>
      <c r="K281" s="469" t="s">
        <v>388</v>
      </c>
      <c r="L281" s="133"/>
      <c r="M281" s="152">
        <f>TIGC</f>
        <v>8.47</v>
      </c>
      <c r="N281" s="153"/>
      <c r="O281" s="154" t="str">
        <f>P</f>
        <v>. . .</v>
      </c>
      <c r="P281" s="92" t="s">
        <v>389</v>
      </c>
      <c r="Q281" s="274">
        <f>SUM(I281:P281)*19.6%</f>
        <v>2.54212</v>
      </c>
      <c r="R281" s="574">
        <f>SUM(I280:P281)*13%</f>
        <v>1.6861000000000002</v>
      </c>
      <c r="S281" s="43"/>
      <c r="T281" s="54">
        <v>5715</v>
      </c>
      <c r="U281" s="55"/>
      <c r="V281" s="383"/>
      <c r="W281" s="258">
        <v>5915</v>
      </c>
      <c r="X281" s="258"/>
      <c r="Y281" s="58">
        <v>9306</v>
      </c>
      <c r="Z281" s="58"/>
      <c r="AA281" s="161"/>
      <c r="AB281" s="29"/>
      <c r="AC281" s="30"/>
      <c r="AD281" s="272"/>
      <c r="AE281" s="229"/>
      <c r="AF281" s="229"/>
      <c r="AG281" s="229"/>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41"/>
    </row>
    <row r="282" spans="1:92" s="542" customFormat="1" ht="12.75">
      <c r="A282" s="42"/>
      <c r="B282" s="23"/>
      <c r="C282" s="86" t="s">
        <v>390</v>
      </c>
      <c r="D282" s="44"/>
      <c r="E282" s="98"/>
      <c r="F282" s="133"/>
      <c r="G282" s="100"/>
      <c r="H282" s="101"/>
      <c r="I282" s="44"/>
      <c r="J282" s="44"/>
      <c r="K282" s="134"/>
      <c r="L282" s="134"/>
      <c r="M282" s="152"/>
      <c r="N282" s="153"/>
      <c r="O282" s="154"/>
      <c r="P282" s="92"/>
      <c r="Q282" s="92"/>
      <c r="R282" s="171"/>
      <c r="S282" s="166"/>
      <c r="T282" s="24"/>
      <c r="U282" s="25"/>
      <c r="V282" s="26"/>
      <c r="W282" s="27"/>
      <c r="X282" s="27"/>
      <c r="Y282" s="28"/>
      <c r="Z282" s="28"/>
      <c r="AA282" s="58"/>
      <c r="AB282" s="29"/>
      <c r="AC282" s="30"/>
      <c r="AD282" s="31"/>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41"/>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row>
    <row r="283" spans="1:59" ht="12.75">
      <c r="A283" s="42">
        <v>134</v>
      </c>
      <c r="B283" s="563" t="s">
        <v>391</v>
      </c>
      <c r="C283" s="564" t="s">
        <v>392</v>
      </c>
      <c r="D283" s="575" t="s">
        <v>393</v>
      </c>
      <c r="E283" s="430" t="s">
        <v>394</v>
      </c>
      <c r="F283" s="133"/>
      <c r="G283" s="100" t="str">
        <f aca="true" t="shared" si="4" ref="G283:H285">P</f>
        <v>. . .</v>
      </c>
      <c r="H283" s="101" t="str">
        <f t="shared" si="4"/>
        <v>. . .</v>
      </c>
      <c r="I283" s="92">
        <f>I281</f>
        <v>4.5</v>
      </c>
      <c r="J283" s="44" t="s">
        <v>395</v>
      </c>
      <c r="K283" s="534" t="s">
        <v>396</v>
      </c>
      <c r="L283" s="134"/>
      <c r="M283" s="152">
        <f>TIGC</f>
        <v>8.47</v>
      </c>
      <c r="N283" s="153"/>
      <c r="O283" s="154" t="str">
        <f aca="true" t="shared" si="5" ref="O283:P285">P</f>
        <v>. . .</v>
      </c>
      <c r="P283" s="92" t="str">
        <f t="shared" si="5"/>
        <v>. . .</v>
      </c>
      <c r="Q283" s="155">
        <f>TVAGAZNATCARBMETRO</f>
        <v>2.54212</v>
      </c>
      <c r="R283" s="196">
        <f>TVAGAZNATCARBCORSE</f>
        <v>1.6861000000000002</v>
      </c>
      <c r="S283" s="166"/>
      <c r="T283" s="54">
        <v>5715</v>
      </c>
      <c r="U283" s="55"/>
      <c r="W283" s="258">
        <v>5915</v>
      </c>
      <c r="X283" s="258"/>
      <c r="Y283" s="58">
        <v>9306</v>
      </c>
      <c r="Z283" s="58">
        <v>9301</v>
      </c>
      <c r="AA283" s="58"/>
      <c r="AB283" s="29"/>
      <c r="AC283" s="30"/>
      <c r="AD283" s="31"/>
      <c r="AE283" s="32"/>
      <c r="AF283" s="32"/>
      <c r="AG283" s="32"/>
      <c r="AH283" s="229"/>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41"/>
    </row>
    <row r="284" spans="1:59" ht="12.75">
      <c r="A284" s="42">
        <v>135</v>
      </c>
      <c r="B284" s="563" t="s">
        <v>397</v>
      </c>
      <c r="C284" s="564" t="s">
        <v>398</v>
      </c>
      <c r="D284" s="575" t="s">
        <v>399</v>
      </c>
      <c r="E284" s="430" t="s">
        <v>400</v>
      </c>
      <c r="F284" s="133"/>
      <c r="G284" s="100" t="str">
        <f t="shared" si="4"/>
        <v>. . .</v>
      </c>
      <c r="H284" s="101" t="str">
        <f t="shared" si="4"/>
        <v>. . .</v>
      </c>
      <c r="I284" s="92">
        <f>I281</f>
        <v>4.5</v>
      </c>
      <c r="J284" s="44" t="s">
        <v>401</v>
      </c>
      <c r="K284" s="534" t="s">
        <v>402</v>
      </c>
      <c r="L284" s="134"/>
      <c r="M284" s="152">
        <f>TIGC</f>
        <v>8.47</v>
      </c>
      <c r="N284" s="153"/>
      <c r="O284" s="154" t="str">
        <f t="shared" si="5"/>
        <v>. . .</v>
      </c>
      <c r="P284" s="92" t="str">
        <f t="shared" si="5"/>
        <v>. . .</v>
      </c>
      <c r="Q284" s="155">
        <f>TVAGAZNATCARBMETRO</f>
        <v>2.54212</v>
      </c>
      <c r="R284" s="196">
        <f>TVAGAZNATCARBCORSE</f>
        <v>1.6861000000000002</v>
      </c>
      <c r="S284" s="43"/>
      <c r="T284" s="54">
        <v>5715</v>
      </c>
      <c r="U284" s="55"/>
      <c r="W284" s="258">
        <v>5915</v>
      </c>
      <c r="X284" s="258"/>
      <c r="Y284" s="58">
        <v>9306</v>
      </c>
      <c r="Z284" s="58">
        <v>9301</v>
      </c>
      <c r="AA284" s="58"/>
      <c r="AB284" s="29"/>
      <c r="AC284" s="30"/>
      <c r="AD284" s="31"/>
      <c r="AE284" s="32"/>
      <c r="AF284" s="32"/>
      <c r="AG284" s="32"/>
      <c r="AH284" s="32"/>
      <c r="AI284" s="576"/>
      <c r="AJ284" s="576"/>
      <c r="AK284" s="576"/>
      <c r="AL284" s="576"/>
      <c r="AM284" s="576"/>
      <c r="AN284" s="576"/>
      <c r="AO284" s="576"/>
      <c r="AP284" s="576"/>
      <c r="AQ284" s="576"/>
      <c r="AR284" s="576"/>
      <c r="AS284" s="576"/>
      <c r="AT284" s="576"/>
      <c r="AU284" s="576"/>
      <c r="AV284" s="576"/>
      <c r="AW284" s="576"/>
      <c r="AX284" s="576"/>
      <c r="AY284" s="576"/>
      <c r="AZ284" s="576"/>
      <c r="BA284" s="576"/>
      <c r="BB284" s="576"/>
      <c r="BC284" s="576"/>
      <c r="BD284" s="576"/>
      <c r="BE284" s="576"/>
      <c r="BF284" s="576"/>
      <c r="BG284" s="41"/>
    </row>
    <row r="285" spans="1:59" ht="12.75">
      <c r="A285" s="42">
        <v>136</v>
      </c>
      <c r="B285" s="563" t="s">
        <v>403</v>
      </c>
      <c r="C285" s="564" t="s">
        <v>404</v>
      </c>
      <c r="D285" s="575" t="s">
        <v>405</v>
      </c>
      <c r="E285" s="430" t="s">
        <v>406</v>
      </c>
      <c r="F285" s="133"/>
      <c r="G285" s="100" t="str">
        <f t="shared" si="4"/>
        <v>. . .</v>
      </c>
      <c r="H285" s="101" t="str">
        <f t="shared" si="4"/>
        <v>. . .</v>
      </c>
      <c r="I285" s="44" t="str">
        <f>R</f>
        <v>Réelle</v>
      </c>
      <c r="J285" s="44" t="str">
        <f>P</f>
        <v>. . .</v>
      </c>
      <c r="K285" s="534" t="s">
        <v>407</v>
      </c>
      <c r="L285" s="134"/>
      <c r="M285" s="152" t="s">
        <v>408</v>
      </c>
      <c r="N285" s="153"/>
      <c r="O285" s="154" t="str">
        <f t="shared" si="5"/>
        <v>. . .</v>
      </c>
      <c r="P285" s="92" t="str">
        <f t="shared" si="5"/>
        <v>. . .</v>
      </c>
      <c r="Q285" s="92" t="str">
        <f>VI</f>
        <v>(25)</v>
      </c>
      <c r="R285" s="171" t="str">
        <f>VI</f>
        <v>(25)</v>
      </c>
      <c r="S285" s="43"/>
      <c r="W285" s="57" t="str">
        <f>t</f>
        <v>TVO</v>
      </c>
      <c r="X285" s="57"/>
      <c r="Y285" s="58">
        <v>5930</v>
      </c>
      <c r="Z285" s="58">
        <v>9301</v>
      </c>
      <c r="AA285" s="28"/>
      <c r="AB285" s="29"/>
      <c r="AC285" s="30"/>
      <c r="AD285" s="31"/>
      <c r="AE285" s="32"/>
      <c r="AF285" s="32"/>
      <c r="AG285" s="32"/>
      <c r="AH285" s="32"/>
      <c r="AI285" s="576"/>
      <c r="AJ285" s="576"/>
      <c r="AK285" s="576"/>
      <c r="AL285" s="576"/>
      <c r="AM285" s="576"/>
      <c r="AN285" s="576"/>
      <c r="AO285" s="576"/>
      <c r="AP285" s="576"/>
      <c r="AQ285" s="576"/>
      <c r="AR285" s="576"/>
      <c r="AS285" s="576"/>
      <c r="AT285" s="576"/>
      <c r="AU285" s="576"/>
      <c r="AV285" s="576"/>
      <c r="AW285" s="576"/>
      <c r="AX285" s="576"/>
      <c r="AY285" s="576"/>
      <c r="AZ285" s="576"/>
      <c r="BA285" s="576"/>
      <c r="BB285" s="576"/>
      <c r="BC285" s="576"/>
      <c r="BD285" s="576"/>
      <c r="BE285" s="576"/>
      <c r="BF285" s="576"/>
      <c r="BG285" s="41"/>
    </row>
    <row r="286" spans="1:59" ht="12.75">
      <c r="A286" s="42"/>
      <c r="B286" s="565"/>
      <c r="C286" s="577" t="s">
        <v>409</v>
      </c>
      <c r="D286" s="236"/>
      <c r="E286" s="427"/>
      <c r="F286" s="238"/>
      <c r="G286" s="239"/>
      <c r="H286" s="240"/>
      <c r="I286" s="241"/>
      <c r="J286" s="241"/>
      <c r="K286" s="428"/>
      <c r="L286" s="242"/>
      <c r="M286" s="243"/>
      <c r="N286" s="244"/>
      <c r="O286" s="245"/>
      <c r="P286" s="269"/>
      <c r="Q286" s="247"/>
      <c r="R286" s="248"/>
      <c r="S286" s="43"/>
      <c r="T286" s="54"/>
      <c r="U286" s="55"/>
      <c r="V286" s="56"/>
      <c r="W286" s="57"/>
      <c r="X286" s="57"/>
      <c r="Y286" s="58"/>
      <c r="Z286" s="58"/>
      <c r="AA286" s="58"/>
      <c r="AB286" s="29"/>
      <c r="AC286" s="30"/>
      <c r="AD286" s="31"/>
      <c r="AE286" s="32"/>
      <c r="AF286" s="32"/>
      <c r="AG286" s="32"/>
      <c r="AH286" s="32"/>
      <c r="AI286" s="576"/>
      <c r="AJ286" s="576"/>
      <c r="AK286" s="576"/>
      <c r="AL286" s="576"/>
      <c r="AM286" s="576"/>
      <c r="AN286" s="576"/>
      <c r="AO286" s="576"/>
      <c r="AP286" s="576"/>
      <c r="AQ286" s="576"/>
      <c r="AR286" s="576"/>
      <c r="AS286" s="576"/>
      <c r="AT286" s="576"/>
      <c r="AU286" s="576"/>
      <c r="AV286" s="576"/>
      <c r="AW286" s="576"/>
      <c r="AX286" s="576"/>
      <c r="AY286" s="576"/>
      <c r="AZ286" s="576"/>
      <c r="BA286" s="576"/>
      <c r="BB286" s="576"/>
      <c r="BC286" s="576"/>
      <c r="BD286" s="576"/>
      <c r="BE286" s="576"/>
      <c r="BF286" s="576"/>
      <c r="BG286" s="41"/>
    </row>
    <row r="287" spans="1:59" ht="12.75">
      <c r="A287" s="42">
        <v>137</v>
      </c>
      <c r="B287" s="23" t="s">
        <v>410</v>
      </c>
      <c r="C287" s="104" t="s">
        <v>411</v>
      </c>
      <c r="D287" s="44" t="str">
        <f>P</f>
        <v>. . .</v>
      </c>
      <c r="E287" s="430" t="s">
        <v>412</v>
      </c>
      <c r="F287" s="133"/>
      <c r="G287" s="194" t="str">
        <f>P</f>
        <v>. . .</v>
      </c>
      <c r="H287" s="43" t="str">
        <f>P</f>
        <v>. . .</v>
      </c>
      <c r="I287" s="44">
        <f>VFVASCIRPARAFBRUTES</f>
        <v>45.73</v>
      </c>
      <c r="J287" s="44" t="s">
        <v>413</v>
      </c>
      <c r="K287" s="578" t="s">
        <v>414</v>
      </c>
      <c r="L287" s="133"/>
      <c r="M287" s="152" t="s">
        <v>415</v>
      </c>
      <c r="N287" s="153"/>
      <c r="O287" s="154" t="str">
        <f>P</f>
        <v>. . .</v>
      </c>
      <c r="P287" s="92" t="str">
        <f>P</f>
        <v>. . .</v>
      </c>
      <c r="Q287" s="155">
        <f>tvavascirparafbrutmetro</f>
        <v>9.0258</v>
      </c>
      <c r="R287" s="196">
        <f>tvavascirparafbrutecorse</f>
        <v>5.9864999999999995</v>
      </c>
      <c r="S287" s="43"/>
      <c r="W287" s="257">
        <v>5916</v>
      </c>
      <c r="X287" s="257"/>
      <c r="Y287" s="256">
        <v>9348</v>
      </c>
      <c r="Z287" s="256"/>
      <c r="AA287" s="58"/>
      <c r="AB287" s="29"/>
      <c r="AC287" s="30"/>
      <c r="AD287" s="31"/>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41"/>
    </row>
    <row r="288" spans="1:92" s="512" customFormat="1" ht="12.75">
      <c r="A288" s="579">
        <v>138</v>
      </c>
      <c r="B288" s="572" t="s">
        <v>416</v>
      </c>
      <c r="C288" s="580" t="s">
        <v>417</v>
      </c>
      <c r="D288" s="200" t="s">
        <v>418</v>
      </c>
      <c r="E288" s="201">
        <f>TEC27121090</f>
        <v>0.022</v>
      </c>
      <c r="F288" s="202"/>
      <c r="G288" s="203" t="s">
        <v>419</v>
      </c>
      <c r="H288" s="204" t="s">
        <v>420</v>
      </c>
      <c r="I288" s="205">
        <f>VFVASCIRAUTRE</f>
        <v>91.47</v>
      </c>
      <c r="J288" s="205" t="s">
        <v>421</v>
      </c>
      <c r="K288" s="394">
        <f>ROUND(I288*TEC27121090,2)</f>
        <v>2.01</v>
      </c>
      <c r="L288" s="206"/>
      <c r="M288" s="207" t="s">
        <v>422</v>
      </c>
      <c r="N288" s="208"/>
      <c r="O288" s="209" t="str">
        <f>P</f>
        <v>. . .</v>
      </c>
      <c r="P288" s="210" t="s">
        <v>423</v>
      </c>
      <c r="Q288" s="490">
        <f>SUM(I288:P288)*19.6%</f>
        <v>18.322080000000003</v>
      </c>
      <c r="R288" s="395">
        <f>SUM(I288:P288)*13%</f>
        <v>12.1524</v>
      </c>
      <c r="S288" s="260"/>
      <c r="T288" s="501"/>
      <c r="U288" s="502"/>
      <c r="V288" s="503"/>
      <c r="W288" s="581">
        <v>5917</v>
      </c>
      <c r="X288" s="581"/>
      <c r="Y288" s="582">
        <v>9348</v>
      </c>
      <c r="Z288" s="582"/>
      <c r="AA288" s="583"/>
      <c r="AB288" s="507"/>
      <c r="AC288" s="508"/>
      <c r="AD288" s="509"/>
      <c r="AE288" s="584"/>
      <c r="AF288" s="584"/>
      <c r="AG288" s="584"/>
      <c r="AH288" s="584"/>
      <c r="AI288" s="510"/>
      <c r="AJ288" s="510"/>
      <c r="AK288" s="510"/>
      <c r="AL288" s="510"/>
      <c r="AM288" s="510"/>
      <c r="AN288" s="510"/>
      <c r="AO288" s="510"/>
      <c r="AP288" s="510"/>
      <c r="AQ288" s="510"/>
      <c r="AR288" s="510"/>
      <c r="AS288" s="510"/>
      <c r="AT288" s="510"/>
      <c r="AU288" s="510"/>
      <c r="AV288" s="510"/>
      <c r="AW288" s="510"/>
      <c r="AX288" s="510"/>
      <c r="AY288" s="510"/>
      <c r="AZ288" s="510"/>
      <c r="BA288" s="510"/>
      <c r="BB288" s="510"/>
      <c r="BC288" s="510"/>
      <c r="BD288" s="510"/>
      <c r="BE288" s="510"/>
      <c r="BF288" s="510"/>
      <c r="BG288" s="500"/>
      <c r="BH288" s="511"/>
      <c r="BI288" s="511"/>
      <c r="BJ288" s="511"/>
      <c r="BK288" s="511"/>
      <c r="BL288" s="511"/>
      <c r="BM288" s="511"/>
      <c r="BN288" s="511"/>
      <c r="BO288" s="511"/>
      <c r="BP288" s="511"/>
      <c r="BQ288" s="511"/>
      <c r="BR288" s="511"/>
      <c r="BS288" s="511"/>
      <c r="BT288" s="511"/>
      <c r="BU288" s="511"/>
      <c r="BV288" s="511"/>
      <c r="BW288" s="511"/>
      <c r="BX288" s="511"/>
      <c r="BY288" s="511"/>
      <c r="BZ288" s="511"/>
      <c r="CA288" s="511"/>
      <c r="CB288" s="511"/>
      <c r="CC288" s="511"/>
      <c r="CD288" s="511"/>
      <c r="CE288" s="511"/>
      <c r="CF288" s="511"/>
      <c r="CG288" s="511"/>
      <c r="CH288" s="511"/>
      <c r="CI288" s="511"/>
      <c r="CJ288" s="511"/>
      <c r="CK288" s="511"/>
      <c r="CL288" s="511"/>
      <c r="CM288" s="511"/>
      <c r="CN288" s="511"/>
    </row>
    <row r="289" spans="1:59" ht="12.75">
      <c r="A289" s="234"/>
      <c r="B289" s="563"/>
      <c r="C289" s="585" t="s">
        <v>424</v>
      </c>
      <c r="D289" s="45"/>
      <c r="E289" s="98"/>
      <c r="F289" s="133"/>
      <c r="G289" s="100"/>
      <c r="H289" s="101"/>
      <c r="I289" s="44"/>
      <c r="J289" s="44"/>
      <c r="K289" s="134"/>
      <c r="L289" s="134"/>
      <c r="M289" s="152"/>
      <c r="N289" s="153"/>
      <c r="O289" s="154"/>
      <c r="P289" s="92"/>
      <c r="Q289" s="137"/>
      <c r="R289" s="138"/>
      <c r="S289" s="43"/>
      <c r="T289" s="157"/>
      <c r="U289" s="158"/>
      <c r="V289" s="159"/>
      <c r="W289" s="160"/>
      <c r="X289" s="160"/>
      <c r="Y289" s="161"/>
      <c r="Z289" s="161"/>
      <c r="AA289" s="58"/>
      <c r="AB289" s="29"/>
      <c r="AC289" s="30"/>
      <c r="AD289" s="31"/>
      <c r="AE289" s="576"/>
      <c r="AF289" s="576"/>
      <c r="AG289" s="576"/>
      <c r="AH289" s="576"/>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41"/>
    </row>
    <row r="290" spans="1:59" ht="12.75">
      <c r="A290" s="42">
        <v>139</v>
      </c>
      <c r="B290" s="563" t="s">
        <v>425</v>
      </c>
      <c r="C290" s="568" t="s">
        <v>426</v>
      </c>
      <c r="D290" s="45" t="str">
        <f>P</f>
        <v>. . .</v>
      </c>
      <c r="E290" s="430" t="s">
        <v>427</v>
      </c>
      <c r="F290" s="133"/>
      <c r="G290" s="100" t="str">
        <f>P</f>
        <v>. . .</v>
      </c>
      <c r="H290" s="101" t="str">
        <f>P</f>
        <v>. . .</v>
      </c>
      <c r="I290" s="44">
        <f>VFPARAFAUTRES</f>
        <v>60.98</v>
      </c>
      <c r="J290" s="44" t="s">
        <v>428</v>
      </c>
      <c r="K290" s="432" t="s">
        <v>429</v>
      </c>
      <c r="L290" s="134"/>
      <c r="M290" s="152" t="s">
        <v>430</v>
      </c>
      <c r="N290" s="153"/>
      <c r="O290" s="154" t="str">
        <f>P</f>
        <v>. . .</v>
      </c>
      <c r="P290" s="92" t="str">
        <f>P</f>
        <v>. . .</v>
      </c>
      <c r="Q290" s="155">
        <f>TVAPARAFAUTREMETRO</f>
        <v>12.21472</v>
      </c>
      <c r="R290" s="196">
        <f>TVAPARAFAUTRECORSE</f>
        <v>8.1016</v>
      </c>
      <c r="S290" s="43"/>
      <c r="W290" s="195">
        <v>5918</v>
      </c>
      <c r="X290" s="195"/>
      <c r="Y290" s="28">
        <v>9348</v>
      </c>
      <c r="Z290" s="28"/>
      <c r="AA290" s="256"/>
      <c r="AB290" s="29"/>
      <c r="AC290" s="30"/>
      <c r="AD290" s="31"/>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41"/>
    </row>
    <row r="291" spans="1:59" ht="12.75">
      <c r="A291" s="42">
        <v>140</v>
      </c>
      <c r="B291" s="563" t="s">
        <v>431</v>
      </c>
      <c r="C291" s="568" t="s">
        <v>432</v>
      </c>
      <c r="D291" s="45" t="s">
        <v>433</v>
      </c>
      <c r="E291" s="98">
        <f>TEC27122090</f>
        <v>0.022</v>
      </c>
      <c r="F291" s="133"/>
      <c r="G291" s="100" t="s">
        <v>434</v>
      </c>
      <c r="H291" s="101" t="s">
        <v>435</v>
      </c>
      <c r="I291" s="44">
        <f>VFPARAFAUTRES</f>
        <v>60.98</v>
      </c>
      <c r="J291" s="44" t="s">
        <v>436</v>
      </c>
      <c r="K291" s="223">
        <f>ROUND(I291*TEC27122090,2)</f>
        <v>1.34</v>
      </c>
      <c r="L291" s="134"/>
      <c r="M291" s="152" t="s">
        <v>437</v>
      </c>
      <c r="N291" s="153"/>
      <c r="O291" s="154" t="str">
        <f>P</f>
        <v>. . .</v>
      </c>
      <c r="P291" s="92" t="s">
        <v>438</v>
      </c>
      <c r="Q291" s="155">
        <f>SUM(I291:P291)*19.6%</f>
        <v>12.21472</v>
      </c>
      <c r="R291" s="196">
        <f>SUM(I291:P291)*13%</f>
        <v>8.1016</v>
      </c>
      <c r="S291" s="43"/>
      <c r="W291" s="195">
        <v>5918</v>
      </c>
      <c r="X291" s="195"/>
      <c r="Y291" s="28">
        <v>9348</v>
      </c>
      <c r="Z291" s="28"/>
      <c r="AA291" s="256"/>
      <c r="AB291" s="29"/>
      <c r="AC291" s="30"/>
      <c r="AD291" s="31"/>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41"/>
    </row>
    <row r="292" spans="1:59" ht="12.75">
      <c r="A292" s="42"/>
      <c r="B292" s="563"/>
      <c r="C292" s="585" t="s">
        <v>439</v>
      </c>
      <c r="D292" s="45"/>
      <c r="E292" s="430"/>
      <c r="F292" s="133"/>
      <c r="G292" s="100"/>
      <c r="H292" s="101"/>
      <c r="I292" s="44"/>
      <c r="J292" s="44"/>
      <c r="K292" s="432"/>
      <c r="L292" s="134"/>
      <c r="M292" s="152"/>
      <c r="N292" s="153"/>
      <c r="O292" s="154"/>
      <c r="P292" s="92"/>
      <c r="Q292" s="137"/>
      <c r="R292" s="156"/>
      <c r="S292" s="235"/>
      <c r="T292" s="157"/>
      <c r="U292" s="158"/>
      <c r="V292" s="159"/>
      <c r="W292" s="160"/>
      <c r="X292" s="160"/>
      <c r="Y292" s="161"/>
      <c r="Z292" s="161"/>
      <c r="AA292" s="161"/>
      <c r="AB292" s="29"/>
      <c r="AC292" s="30"/>
      <c r="AD292" s="31"/>
      <c r="AE292" s="32"/>
      <c r="AF292" s="32"/>
      <c r="AG292" s="32"/>
      <c r="AH292" s="32"/>
      <c r="AI292" s="576"/>
      <c r="AJ292" s="576"/>
      <c r="AK292" s="576"/>
      <c r="AL292" s="576"/>
      <c r="AM292" s="576"/>
      <c r="AN292" s="576"/>
      <c r="AO292" s="576"/>
      <c r="AP292" s="576"/>
      <c r="AQ292" s="576"/>
      <c r="AR292" s="576"/>
      <c r="AS292" s="576"/>
      <c r="AT292" s="576"/>
      <c r="AU292" s="576"/>
      <c r="AV292" s="576"/>
      <c r="AW292" s="576"/>
      <c r="AX292" s="576"/>
      <c r="AY292" s="576"/>
      <c r="AZ292" s="576"/>
      <c r="BA292" s="576"/>
      <c r="BB292" s="576"/>
      <c r="BC292" s="576"/>
      <c r="BD292" s="576"/>
      <c r="BE292" s="576"/>
      <c r="BF292" s="576"/>
      <c r="BG292" s="41"/>
    </row>
    <row r="293" spans="1:59" ht="12.75">
      <c r="A293" s="42">
        <v>141</v>
      </c>
      <c r="B293" s="563" t="s">
        <v>440</v>
      </c>
      <c r="C293" s="568" t="s">
        <v>441</v>
      </c>
      <c r="D293" s="45" t="s">
        <v>442</v>
      </c>
      <c r="E293" s="430" t="s">
        <v>443</v>
      </c>
      <c r="F293" s="133"/>
      <c r="G293" s="100" t="s">
        <v>444</v>
      </c>
      <c r="H293" s="101" t="s">
        <v>445</v>
      </c>
      <c r="I293" s="44" t="s">
        <v>446</v>
      </c>
      <c r="J293" s="44" t="s">
        <v>447</v>
      </c>
      <c r="K293" s="534" t="s">
        <v>448</v>
      </c>
      <c r="L293" s="134"/>
      <c r="M293" s="273" t="str">
        <f>"(3)"</f>
        <v>(3)</v>
      </c>
      <c r="N293" s="153"/>
      <c r="O293" s="43" t="str">
        <f>P</f>
        <v>. . .</v>
      </c>
      <c r="P293" s="44" t="str">
        <f>"(3)"</f>
        <v>(3)</v>
      </c>
      <c r="Q293" s="92" t="str">
        <f>"(3)"</f>
        <v>(3)</v>
      </c>
      <c r="R293" s="171" t="str">
        <f>"(3)"</f>
        <v>(3)</v>
      </c>
      <c r="S293" s="235"/>
      <c r="W293" s="160" t="str">
        <f>t</f>
        <v>TVO</v>
      </c>
      <c r="X293" s="160">
        <v>5930</v>
      </c>
      <c r="Y293" s="161">
        <v>9052</v>
      </c>
      <c r="Z293" s="161">
        <v>9348</v>
      </c>
      <c r="AA293" s="28"/>
      <c r="AB293" s="29"/>
      <c r="AC293" s="30"/>
      <c r="AD293" s="31"/>
      <c r="AE293" s="32"/>
      <c r="AF293" s="32"/>
      <c r="AG293" s="32"/>
      <c r="AH293" s="32"/>
      <c r="AI293" s="32">
        <v>0</v>
      </c>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41"/>
    </row>
    <row r="294" spans="1:59" ht="12.75">
      <c r="A294" s="42">
        <v>142</v>
      </c>
      <c r="B294" s="563" t="s">
        <v>449</v>
      </c>
      <c r="C294" s="568" t="s">
        <v>450</v>
      </c>
      <c r="D294" s="45"/>
      <c r="E294" s="430"/>
      <c r="F294" s="133"/>
      <c r="G294" s="100"/>
      <c r="H294" s="101"/>
      <c r="I294" s="44"/>
      <c r="J294" s="44"/>
      <c r="K294" s="432"/>
      <c r="L294" s="134"/>
      <c r="M294" s="152"/>
      <c r="N294" s="153"/>
      <c r="O294" s="154"/>
      <c r="P294" s="92"/>
      <c r="Q294" s="137"/>
      <c r="R294" s="138"/>
      <c r="S294" s="166"/>
      <c r="W294" s="160"/>
      <c r="X294" s="160"/>
      <c r="Y294" s="161"/>
      <c r="Z294" s="161"/>
      <c r="AA294" s="28"/>
      <c r="AB294" s="29"/>
      <c r="AC294" s="30"/>
      <c r="AD294" s="31"/>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41"/>
    </row>
    <row r="295" spans="1:59" ht="12.75">
      <c r="A295" s="42"/>
      <c r="B295" s="563"/>
      <c r="C295" s="568" t="s">
        <v>451</v>
      </c>
      <c r="D295" s="45" t="s">
        <v>452</v>
      </c>
      <c r="E295" s="430" t="s">
        <v>453</v>
      </c>
      <c r="F295" s="133"/>
      <c r="G295" s="100" t="s">
        <v>454</v>
      </c>
      <c r="H295" s="101" t="s">
        <v>455</v>
      </c>
      <c r="I295" s="44" t="s">
        <v>456</v>
      </c>
      <c r="J295" s="44" t="s">
        <v>457</v>
      </c>
      <c r="K295" s="534" t="s">
        <v>458</v>
      </c>
      <c r="L295" s="134"/>
      <c r="M295" s="273" t="str">
        <f>"(3)"</f>
        <v>(3)</v>
      </c>
      <c r="N295" s="153"/>
      <c r="O295" s="43" t="str">
        <f>P</f>
        <v>. . .</v>
      </c>
      <c r="P295" s="44" t="str">
        <f>"(3)"</f>
        <v>(3)</v>
      </c>
      <c r="Q295" s="92" t="str">
        <f>"(3)"</f>
        <v>(3)</v>
      </c>
      <c r="R295" s="171" t="str">
        <f>"(3)"</f>
        <v>(3)</v>
      </c>
      <c r="S295" s="23"/>
      <c r="W295" s="160" t="str">
        <f>t</f>
        <v>TVO</v>
      </c>
      <c r="X295" s="160">
        <v>5930</v>
      </c>
      <c r="Y295" s="161">
        <v>9052</v>
      </c>
      <c r="Z295" s="161">
        <v>9348</v>
      </c>
      <c r="AA295" s="161"/>
      <c r="AB295" s="29"/>
      <c r="AC295" s="30"/>
      <c r="AD295" s="31"/>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41"/>
    </row>
    <row r="296" spans="1:59" ht="12.75">
      <c r="A296" s="42">
        <v>143</v>
      </c>
      <c r="B296" s="23" t="s">
        <v>459</v>
      </c>
      <c r="C296" s="86" t="s">
        <v>460</v>
      </c>
      <c r="D296" s="44" t="str">
        <f>P</f>
        <v>. . .</v>
      </c>
      <c r="E296" s="98">
        <f>TEC27129039</f>
        <v>0.007</v>
      </c>
      <c r="F296" s="133"/>
      <c r="G296" s="194" t="str">
        <f>P</f>
        <v>. . .</v>
      </c>
      <c r="H296" s="43" t="str">
        <f>P</f>
        <v>. . .</v>
      </c>
      <c r="I296" s="44">
        <f>VFVASCIRPARAFBRUTES</f>
        <v>45.73</v>
      </c>
      <c r="J296" s="44" t="s">
        <v>461</v>
      </c>
      <c r="K296" s="166">
        <f>ROUND(I296*TEC27129039,2)</f>
        <v>0.32</v>
      </c>
      <c r="L296" s="133"/>
      <c r="M296" s="152" t="s">
        <v>462</v>
      </c>
      <c r="N296" s="153"/>
      <c r="O296" s="154" t="str">
        <f>P</f>
        <v>. . .</v>
      </c>
      <c r="P296" s="92" t="str">
        <f>P</f>
        <v>. . .</v>
      </c>
      <c r="Q296" s="155">
        <f>SUM(I296:P296)*19.6%</f>
        <v>9.0258</v>
      </c>
      <c r="R296" s="196">
        <f>SUM(I296:P296)*13%</f>
        <v>5.9864999999999995</v>
      </c>
      <c r="S296" s="166"/>
      <c r="V296" s="383"/>
      <c r="W296" s="258">
        <v>5916</v>
      </c>
      <c r="X296" s="258"/>
      <c r="Y296" s="58">
        <v>9348</v>
      </c>
      <c r="Z296" s="58"/>
      <c r="AA296" s="161"/>
      <c r="AB296" s="29"/>
      <c r="AC296" s="30"/>
      <c r="AD296" s="31"/>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41"/>
    </row>
    <row r="297" spans="1:59" ht="12.75">
      <c r="A297" s="42"/>
      <c r="B297" s="565"/>
      <c r="C297" s="577" t="s">
        <v>463</v>
      </c>
      <c r="D297" s="236"/>
      <c r="E297" s="237"/>
      <c r="F297" s="238"/>
      <c r="G297" s="239"/>
      <c r="H297" s="240"/>
      <c r="I297" s="241"/>
      <c r="J297" s="241"/>
      <c r="K297" s="242"/>
      <c r="L297" s="242"/>
      <c r="M297" s="243"/>
      <c r="N297" s="244"/>
      <c r="O297" s="245"/>
      <c r="P297" s="269"/>
      <c r="Q297" s="247"/>
      <c r="R297" s="138"/>
      <c r="S297" s="166"/>
      <c r="W297" s="160"/>
      <c r="X297" s="160"/>
      <c r="Y297" s="161"/>
      <c r="Z297" s="161"/>
      <c r="AA297" s="28"/>
      <c r="AB297" s="29"/>
      <c r="AC297" s="30"/>
      <c r="AD297" s="31"/>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41"/>
    </row>
    <row r="298" spans="1:59" ht="12.75">
      <c r="A298" s="42"/>
      <c r="B298" s="563"/>
      <c r="C298" s="564" t="s">
        <v>464</v>
      </c>
      <c r="D298" s="45"/>
      <c r="E298" s="98"/>
      <c r="F298" s="133"/>
      <c r="G298" s="100"/>
      <c r="H298" s="101"/>
      <c r="I298" s="44"/>
      <c r="J298" s="44"/>
      <c r="K298" s="134"/>
      <c r="L298" s="134"/>
      <c r="M298" s="152"/>
      <c r="N298" s="153"/>
      <c r="O298" s="154"/>
      <c r="P298" s="92"/>
      <c r="Q298" s="137"/>
      <c r="R298" s="138"/>
      <c r="S298" s="43"/>
      <c r="W298" s="160"/>
      <c r="X298" s="160"/>
      <c r="Y298" s="161"/>
      <c r="Z298" s="161"/>
      <c r="AA298" s="58"/>
      <c r="AB298" s="29"/>
      <c r="AC298" s="30"/>
      <c r="AD298" s="31"/>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41"/>
    </row>
    <row r="299" spans="1:59" ht="12.75">
      <c r="A299" s="42"/>
      <c r="B299" s="563"/>
      <c r="C299" s="564" t="s">
        <v>465</v>
      </c>
      <c r="D299" s="45"/>
      <c r="E299" s="98"/>
      <c r="F299" s="133"/>
      <c r="G299" s="100"/>
      <c r="H299" s="101"/>
      <c r="I299" s="44"/>
      <c r="J299" s="44"/>
      <c r="K299" s="134"/>
      <c r="L299" s="134"/>
      <c r="M299" s="152"/>
      <c r="N299" s="153"/>
      <c r="O299" s="154"/>
      <c r="P299" s="92"/>
      <c r="Q299" s="92"/>
      <c r="R299" s="171"/>
      <c r="S299" s="23"/>
      <c r="W299" s="27"/>
      <c r="X299" s="27"/>
      <c r="Y299" s="28"/>
      <c r="Z299" s="28"/>
      <c r="AA299" s="28"/>
      <c r="AB299" s="29"/>
      <c r="AC299" s="30"/>
      <c r="AD299" s="31"/>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41"/>
    </row>
    <row r="300" spans="1:59" ht="12.75">
      <c r="A300" s="234">
        <v>144</v>
      </c>
      <c r="B300" s="563" t="s">
        <v>466</v>
      </c>
      <c r="C300" s="564" t="s">
        <v>467</v>
      </c>
      <c r="D300" s="45" t="str">
        <f>P</f>
        <v>. . .</v>
      </c>
      <c r="E300" s="98" t="s">
        <v>468</v>
      </c>
      <c r="F300" s="133"/>
      <c r="G300" s="100" t="str">
        <f>P</f>
        <v>. . .</v>
      </c>
      <c r="H300" s="101" t="str">
        <f>P</f>
        <v>. . .</v>
      </c>
      <c r="I300" s="44">
        <f>VFVASCIRAUTRE</f>
        <v>91.47</v>
      </c>
      <c r="J300" s="44" t="s">
        <v>469</v>
      </c>
      <c r="K300" s="134" t="s">
        <v>470</v>
      </c>
      <c r="L300" s="134"/>
      <c r="M300" s="152" t="s">
        <v>471</v>
      </c>
      <c r="N300" s="153"/>
      <c r="O300" s="154" t="str">
        <f>P</f>
        <v>. . .</v>
      </c>
      <c r="P300" s="92" t="str">
        <f>P</f>
        <v>. . .</v>
      </c>
      <c r="Q300" s="155">
        <f>TVAVASCIREAUTMETRO</f>
        <v>18.322080000000003</v>
      </c>
      <c r="R300" s="156">
        <f>TVAVASCIREAUTCORSE</f>
        <v>12.1524</v>
      </c>
      <c r="S300" s="43"/>
      <c r="W300" s="195">
        <v>5917</v>
      </c>
      <c r="X300" s="195"/>
      <c r="Y300" s="28">
        <v>9348</v>
      </c>
      <c r="Z300" s="28"/>
      <c r="AA300" s="161"/>
      <c r="AB300" s="224"/>
      <c r="AC300" s="30"/>
      <c r="AD300" s="31"/>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41"/>
    </row>
    <row r="301" spans="1:59" ht="12.75">
      <c r="A301" s="42">
        <v>145</v>
      </c>
      <c r="B301" s="563" t="s">
        <v>472</v>
      </c>
      <c r="C301" s="564" t="s">
        <v>473</v>
      </c>
      <c r="D301" s="45" t="str">
        <f>P</f>
        <v>. . .</v>
      </c>
      <c r="E301" s="98" t="s">
        <v>474</v>
      </c>
      <c r="F301" s="133"/>
      <c r="G301" s="100" t="str">
        <f>P</f>
        <v>. . .</v>
      </c>
      <c r="H301" s="101" t="str">
        <f>P</f>
        <v>. . .</v>
      </c>
      <c r="I301" s="44">
        <f>VFPARAFAUTRES</f>
        <v>60.98</v>
      </c>
      <c r="J301" s="44" t="s">
        <v>475</v>
      </c>
      <c r="K301" s="134" t="s">
        <v>476</v>
      </c>
      <c r="L301" s="134"/>
      <c r="M301" s="152" t="s">
        <v>477</v>
      </c>
      <c r="N301" s="153"/>
      <c r="O301" s="154" t="str">
        <f>P</f>
        <v>. . .</v>
      </c>
      <c r="P301" s="92" t="str">
        <f>P</f>
        <v>. . .</v>
      </c>
      <c r="Q301" s="155">
        <f>TVAPARAFAUTREMETRO</f>
        <v>12.21472</v>
      </c>
      <c r="R301" s="156">
        <f>TVAPARAFAUTRECORSE</f>
        <v>8.1016</v>
      </c>
      <c r="S301" s="23"/>
      <c r="W301" s="258">
        <v>5918</v>
      </c>
      <c r="X301" s="258"/>
      <c r="Y301" s="58">
        <v>9348</v>
      </c>
      <c r="Z301" s="58"/>
      <c r="AA301" s="161"/>
      <c r="AB301" s="224"/>
      <c r="AC301" s="30"/>
      <c r="AD301" s="31"/>
      <c r="AE301" s="32"/>
      <c r="AF301" s="32"/>
      <c r="AG301" s="32"/>
      <c r="AH301" s="32"/>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row>
    <row r="302" spans="1:59" ht="12.75">
      <c r="A302" s="42"/>
      <c r="B302" s="563"/>
      <c r="C302" s="564" t="s">
        <v>478</v>
      </c>
      <c r="D302" s="45"/>
      <c r="E302" s="98"/>
      <c r="F302" s="133"/>
      <c r="G302" s="100"/>
      <c r="H302" s="101"/>
      <c r="I302" s="44"/>
      <c r="J302" s="44"/>
      <c r="K302" s="134"/>
      <c r="L302" s="134"/>
      <c r="M302" s="152"/>
      <c r="N302" s="153"/>
      <c r="O302" s="154"/>
      <c r="P302" s="92"/>
      <c r="Q302" s="155"/>
      <c r="R302" s="156"/>
      <c r="S302" s="166"/>
      <c r="T302" s="157"/>
      <c r="U302" s="158"/>
      <c r="V302" s="159"/>
      <c r="W302" s="160"/>
      <c r="X302" s="160"/>
      <c r="Y302" s="161"/>
      <c r="Z302" s="161"/>
      <c r="AA302" s="28"/>
      <c r="AB302" s="224"/>
      <c r="AC302" s="30"/>
      <c r="AD302" s="31"/>
      <c r="AE302" s="32"/>
      <c r="AF302" s="32"/>
      <c r="AG302" s="32"/>
      <c r="AH302" s="32"/>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row>
    <row r="303" spans="1:59" ht="12.75">
      <c r="A303" s="42"/>
      <c r="B303" s="563"/>
      <c r="C303" s="564" t="s">
        <v>479</v>
      </c>
      <c r="D303" s="45"/>
      <c r="E303" s="430"/>
      <c r="F303" s="133"/>
      <c r="G303" s="100"/>
      <c r="H303" s="101"/>
      <c r="I303" s="44"/>
      <c r="J303" s="44"/>
      <c r="K303" s="432"/>
      <c r="L303" s="134"/>
      <c r="M303" s="152"/>
      <c r="N303" s="153"/>
      <c r="O303" s="154"/>
      <c r="P303" s="92"/>
      <c r="Q303" s="155"/>
      <c r="R303" s="156"/>
      <c r="S303" s="166"/>
      <c r="T303" s="157"/>
      <c r="U303" s="158"/>
      <c r="V303" s="159"/>
      <c r="W303" s="160"/>
      <c r="X303" s="160"/>
      <c r="Y303" s="161"/>
      <c r="Z303" s="161"/>
      <c r="AA303" s="28"/>
      <c r="AB303" s="224"/>
      <c r="AC303" s="30"/>
      <c r="AD303" s="31"/>
      <c r="AE303" s="32"/>
      <c r="AF303" s="32"/>
      <c r="AG303" s="32"/>
      <c r="AH303" s="32"/>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row>
    <row r="304" spans="1:59" ht="12.75">
      <c r="A304" s="42"/>
      <c r="B304" s="563"/>
      <c r="C304" s="564" t="s">
        <v>480</v>
      </c>
      <c r="D304" s="45"/>
      <c r="E304" s="430"/>
      <c r="F304" s="133"/>
      <c r="G304" s="100"/>
      <c r="H304" s="101"/>
      <c r="I304" s="44"/>
      <c r="J304" s="44"/>
      <c r="K304" s="432"/>
      <c r="L304" s="134"/>
      <c r="M304" s="152"/>
      <c r="N304" s="153"/>
      <c r="O304" s="154"/>
      <c r="P304" s="92"/>
      <c r="Q304" s="155"/>
      <c r="R304" s="156"/>
      <c r="S304" s="23"/>
      <c r="T304" s="157"/>
      <c r="U304" s="158"/>
      <c r="V304" s="159"/>
      <c r="W304" s="160"/>
      <c r="X304" s="160"/>
      <c r="Y304" s="161"/>
      <c r="Z304" s="161"/>
      <c r="AA304" s="58"/>
      <c r="AB304" s="224"/>
      <c r="AC304" s="30"/>
      <c r="AD304" s="31"/>
      <c r="AE304" s="32"/>
      <c r="AF304" s="32"/>
      <c r="AG304" s="32"/>
      <c r="AH304" s="32"/>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row>
    <row r="305" spans="1:59" ht="12.75">
      <c r="A305" s="42">
        <v>146</v>
      </c>
      <c r="B305" s="563" t="s">
        <v>481</v>
      </c>
      <c r="C305" s="564" t="s">
        <v>482</v>
      </c>
      <c r="D305" s="45" t="s">
        <v>483</v>
      </c>
      <c r="E305" s="430">
        <f>TEC27129099</f>
        <v>0.022</v>
      </c>
      <c r="F305" s="43"/>
      <c r="G305" s="100" t="s">
        <v>484</v>
      </c>
      <c r="H305" s="101" t="s">
        <v>485</v>
      </c>
      <c r="I305" s="44">
        <f>VFVASCIRAUTRE</f>
        <v>91.47</v>
      </c>
      <c r="J305" s="44" t="s">
        <v>486</v>
      </c>
      <c r="K305" s="586">
        <f>ROUND(I305*TEC27129099,2)</f>
        <v>2.01</v>
      </c>
      <c r="L305" s="587"/>
      <c r="M305" s="152" t="s">
        <v>487</v>
      </c>
      <c r="N305" s="153"/>
      <c r="O305" s="154" t="str">
        <f>P</f>
        <v>. . .</v>
      </c>
      <c r="P305" s="92" t="s">
        <v>488</v>
      </c>
      <c r="Q305" s="155">
        <f>TVAVASCIREAUTMETRO</f>
        <v>18.322080000000003</v>
      </c>
      <c r="R305" s="156">
        <f>TVAVASCIREAUTCORSE</f>
        <v>12.1524</v>
      </c>
      <c r="S305" s="23"/>
      <c r="W305" s="167">
        <v>5917</v>
      </c>
      <c r="X305" s="167"/>
      <c r="Y305" s="161">
        <v>9348</v>
      </c>
      <c r="Z305" s="161"/>
      <c r="AA305" s="161"/>
      <c r="AB305" s="224"/>
      <c r="AC305" s="30"/>
      <c r="AD305" s="31"/>
      <c r="AE305" s="32"/>
      <c r="AF305" s="32"/>
      <c r="AG305" s="32"/>
      <c r="AH305" s="32"/>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row>
    <row r="306" spans="1:59" ht="12.75">
      <c r="A306" s="42">
        <v>147</v>
      </c>
      <c r="B306" s="563" t="s">
        <v>489</v>
      </c>
      <c r="C306" s="564" t="s">
        <v>490</v>
      </c>
      <c r="D306" s="45" t="s">
        <v>491</v>
      </c>
      <c r="E306" s="98">
        <f>TEC27129099</f>
        <v>0.022</v>
      </c>
      <c r="F306" s="43"/>
      <c r="G306" s="100" t="s">
        <v>492</v>
      </c>
      <c r="H306" s="101" t="s">
        <v>493</v>
      </c>
      <c r="I306" s="44">
        <f>VFPARAFAUTRES</f>
        <v>60.98</v>
      </c>
      <c r="J306" s="44" t="s">
        <v>494</v>
      </c>
      <c r="K306" s="588">
        <f>ROUND(I306*TEC27129099,2)</f>
        <v>1.34</v>
      </c>
      <c r="L306" s="587"/>
      <c r="M306" s="152" t="s">
        <v>495</v>
      </c>
      <c r="N306" s="153"/>
      <c r="O306" s="154" t="str">
        <f>P</f>
        <v>. . .</v>
      </c>
      <c r="P306" s="92" t="s">
        <v>496</v>
      </c>
      <c r="Q306" s="155">
        <f>TVAPARAFAUTREMETRO</f>
        <v>12.21472</v>
      </c>
      <c r="R306" s="156">
        <f>TVAPARAFAUTRECORSE</f>
        <v>8.1016</v>
      </c>
      <c r="S306" s="154"/>
      <c r="W306" s="167">
        <v>5918</v>
      </c>
      <c r="X306" s="167"/>
      <c r="Y306" s="161">
        <v>9348</v>
      </c>
      <c r="Z306" s="161"/>
      <c r="AA306" s="161"/>
      <c r="AB306" s="224"/>
      <c r="AC306" s="30"/>
      <c r="AD306" s="31"/>
      <c r="AE306" s="32"/>
      <c r="AF306" s="32"/>
      <c r="AG306" s="32"/>
      <c r="AH306" s="32"/>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row>
    <row r="307" spans="1:92" s="542" customFormat="1" ht="12.75">
      <c r="A307" s="42"/>
      <c r="B307" s="563"/>
      <c r="C307" s="564" t="s">
        <v>497</v>
      </c>
      <c r="D307" s="45"/>
      <c r="E307" s="98"/>
      <c r="F307" s="133"/>
      <c r="G307" s="100"/>
      <c r="H307" s="101"/>
      <c r="I307" s="44"/>
      <c r="J307" s="44"/>
      <c r="K307" s="588"/>
      <c r="L307" s="134"/>
      <c r="M307" s="152"/>
      <c r="N307" s="153"/>
      <c r="O307" s="154"/>
      <c r="P307" s="92"/>
      <c r="Q307" s="137"/>
      <c r="R307" s="138"/>
      <c r="S307" s="166"/>
      <c r="T307" s="7"/>
      <c r="U307" s="8"/>
      <c r="V307" s="9"/>
      <c r="W307" s="160"/>
      <c r="X307" s="160"/>
      <c r="Y307" s="161"/>
      <c r="Z307" s="161"/>
      <c r="AA307" s="161"/>
      <c r="AB307" s="224"/>
      <c r="AC307" s="30"/>
      <c r="AD307" s="31"/>
      <c r="AE307" s="32"/>
      <c r="AF307" s="32"/>
      <c r="AG307" s="32"/>
      <c r="AH307" s="32"/>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row>
    <row r="308" spans="1:59" ht="12.75">
      <c r="A308" s="42">
        <v>148</v>
      </c>
      <c r="B308" s="563" t="s">
        <v>498</v>
      </c>
      <c r="C308" s="564" t="s">
        <v>499</v>
      </c>
      <c r="D308" s="45" t="str">
        <f>P</f>
        <v>. . .</v>
      </c>
      <c r="E308" s="430">
        <f>TEC27129099</f>
        <v>0.022</v>
      </c>
      <c r="F308" s="133"/>
      <c r="G308" s="100" t="str">
        <f>P</f>
        <v>. . .</v>
      </c>
      <c r="H308" s="101" t="str">
        <f>P</f>
        <v>. . .</v>
      </c>
      <c r="I308" s="44">
        <f>VFVASCIRAUTRE</f>
        <v>91.47</v>
      </c>
      <c r="J308" s="44" t="s">
        <v>500</v>
      </c>
      <c r="K308" s="586">
        <f>ROUND(I308*TEC27129099,2)</f>
        <v>2.01</v>
      </c>
      <c r="L308" s="134"/>
      <c r="M308" s="152" t="s">
        <v>501</v>
      </c>
      <c r="N308" s="153"/>
      <c r="O308" s="154" t="str">
        <f>P</f>
        <v>. . .</v>
      </c>
      <c r="P308" s="92" t="str">
        <f>P</f>
        <v>. . .</v>
      </c>
      <c r="Q308" s="155">
        <f>TVAVASCIREAUTMETRO</f>
        <v>18.322080000000003</v>
      </c>
      <c r="R308" s="156">
        <f>TVAVASCIREAUTCORSE</f>
        <v>12.1524</v>
      </c>
      <c r="S308" s="166"/>
      <c r="W308" s="167">
        <v>5917</v>
      </c>
      <c r="X308" s="167"/>
      <c r="Y308" s="161">
        <v>9348</v>
      </c>
      <c r="Z308" s="161"/>
      <c r="AA308" s="161"/>
      <c r="AB308" s="224"/>
      <c r="AC308" s="30"/>
      <c r="AD308" s="139"/>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row>
    <row r="309" spans="1:59" ht="12.75">
      <c r="A309" s="42">
        <v>149</v>
      </c>
      <c r="B309" s="563" t="s">
        <v>502</v>
      </c>
      <c r="C309" s="564" t="s">
        <v>503</v>
      </c>
      <c r="D309" s="45" t="s">
        <v>504</v>
      </c>
      <c r="E309" s="98">
        <f>TEC27129099</f>
        <v>0.022</v>
      </c>
      <c r="F309" s="133"/>
      <c r="G309" s="100" t="s">
        <v>505</v>
      </c>
      <c r="H309" s="101" t="s">
        <v>506</v>
      </c>
      <c r="I309" s="44">
        <f>VFPARAFAUTRES</f>
        <v>60.98</v>
      </c>
      <c r="J309" s="44" t="s">
        <v>507</v>
      </c>
      <c r="K309" s="588">
        <f>ROUND(I309*TEC27129099,2)</f>
        <v>1.34</v>
      </c>
      <c r="L309" s="134"/>
      <c r="M309" s="152" t="s">
        <v>508</v>
      </c>
      <c r="N309" s="153"/>
      <c r="O309" s="154" t="str">
        <f>P</f>
        <v>. . .</v>
      </c>
      <c r="P309" s="92" t="s">
        <v>509</v>
      </c>
      <c r="Q309" s="155">
        <f>TVAPARAFAUTREMETRO</f>
        <v>12.21472</v>
      </c>
      <c r="R309" s="156">
        <f>TVAPARAFAUTRECORSE</f>
        <v>8.1016</v>
      </c>
      <c r="S309" s="166"/>
      <c r="W309" s="195">
        <v>5918</v>
      </c>
      <c r="X309" s="195"/>
      <c r="Y309" s="28">
        <v>9348</v>
      </c>
      <c r="Z309" s="28"/>
      <c r="AA309" s="161"/>
      <c r="AB309" s="224"/>
      <c r="AC309" s="30"/>
      <c r="AD309" s="139"/>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row>
    <row r="310" spans="1:59" ht="12.75">
      <c r="A310" s="42"/>
      <c r="B310" s="564"/>
      <c r="C310" s="564"/>
      <c r="D310" s="45"/>
      <c r="E310" s="98"/>
      <c r="F310" s="133"/>
      <c r="G310" s="101"/>
      <c r="H310" s="101"/>
      <c r="I310" s="44"/>
      <c r="J310" s="44"/>
      <c r="K310" s="223"/>
      <c r="L310" s="134"/>
      <c r="M310" s="166"/>
      <c r="N310" s="166"/>
      <c r="O310" s="92"/>
      <c r="P310" s="92"/>
      <c r="Q310" s="155"/>
      <c r="R310" s="196"/>
      <c r="S310" s="166"/>
      <c r="T310" s="157"/>
      <c r="U310" s="158"/>
      <c r="V310" s="159"/>
      <c r="W310" s="160"/>
      <c r="X310" s="160"/>
      <c r="Y310" s="161"/>
      <c r="Z310" s="161"/>
      <c r="AA310" s="161"/>
      <c r="AB310" s="224"/>
      <c r="AC310" s="30"/>
      <c r="AD310" s="139"/>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row>
    <row r="311" spans="1:59" ht="12.75">
      <c r="A311" s="42"/>
      <c r="B311" s="563"/>
      <c r="C311" s="589" t="s">
        <v>510</v>
      </c>
      <c r="D311" s="45"/>
      <c r="E311" s="98"/>
      <c r="F311" s="133"/>
      <c r="G311" s="100"/>
      <c r="H311" s="101"/>
      <c r="I311" s="44"/>
      <c r="J311" s="44"/>
      <c r="K311" s="225"/>
      <c r="L311" s="134"/>
      <c r="M311" s="152"/>
      <c r="N311" s="153"/>
      <c r="O311" s="154"/>
      <c r="P311" s="92"/>
      <c r="Q311" s="155"/>
      <c r="R311" s="156"/>
      <c r="S311" s="166"/>
      <c r="T311" s="157"/>
      <c r="U311" s="158"/>
      <c r="V311" s="159"/>
      <c r="W311" s="160"/>
      <c r="X311" s="160"/>
      <c r="Y311" s="161"/>
      <c r="Z311" s="161"/>
      <c r="AA311" s="161"/>
      <c r="AB311" s="224"/>
      <c r="AC311" s="30"/>
      <c r="AD311" s="139"/>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row>
    <row r="312" spans="1:59" ht="12.75">
      <c r="A312" s="42"/>
      <c r="B312" s="563"/>
      <c r="C312" s="589" t="s">
        <v>511</v>
      </c>
      <c r="D312" s="45"/>
      <c r="E312" s="430"/>
      <c r="F312" s="133"/>
      <c r="G312" s="100"/>
      <c r="H312" s="101"/>
      <c r="I312" s="44"/>
      <c r="J312" s="44"/>
      <c r="K312" s="534"/>
      <c r="L312" s="134"/>
      <c r="M312" s="152"/>
      <c r="N312" s="153"/>
      <c r="O312" s="154"/>
      <c r="P312" s="92"/>
      <c r="Q312" s="155"/>
      <c r="R312" s="156"/>
      <c r="S312" s="166"/>
      <c r="T312" s="157"/>
      <c r="U312" s="158"/>
      <c r="V312" s="159"/>
      <c r="W312" s="160"/>
      <c r="X312" s="160"/>
      <c r="Y312" s="161"/>
      <c r="Z312" s="161"/>
      <c r="AA312" s="28"/>
      <c r="AB312" s="224"/>
      <c r="AC312" s="30"/>
      <c r="AD312" s="139"/>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row>
    <row r="313" spans="1:59" ht="12.75">
      <c r="A313" s="42"/>
      <c r="B313" s="563"/>
      <c r="C313" s="564"/>
      <c r="D313" s="45"/>
      <c r="E313" s="430"/>
      <c r="F313" s="133"/>
      <c r="G313" s="100"/>
      <c r="H313" s="101"/>
      <c r="I313" s="44"/>
      <c r="J313" s="44"/>
      <c r="K313" s="534"/>
      <c r="L313" s="134"/>
      <c r="M313" s="152"/>
      <c r="N313" s="153"/>
      <c r="O313" s="154"/>
      <c r="P313" s="92"/>
      <c r="Q313" s="155"/>
      <c r="R313" s="138"/>
      <c r="S313" s="166"/>
      <c r="T313" s="157"/>
      <c r="U313" s="158"/>
      <c r="V313" s="159"/>
      <c r="W313" s="160"/>
      <c r="X313" s="160"/>
      <c r="Y313" s="161"/>
      <c r="Z313" s="161"/>
      <c r="AA313" s="161"/>
      <c r="AB313" s="224"/>
      <c r="AC313" s="30"/>
      <c r="AD313" s="139"/>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row>
    <row r="314" spans="1:59" ht="12.75">
      <c r="A314" s="42">
        <v>150</v>
      </c>
      <c r="B314" s="563" t="s">
        <v>512</v>
      </c>
      <c r="C314" s="568" t="s">
        <v>513</v>
      </c>
      <c r="D314" s="45" t="str">
        <f>P</f>
        <v>. . .</v>
      </c>
      <c r="E314" s="98" t="s">
        <v>514</v>
      </c>
      <c r="F314" s="133"/>
      <c r="G314" s="100" t="str">
        <f>P</f>
        <v>. . .</v>
      </c>
      <c r="H314" s="101" t="str">
        <f>P</f>
        <v>. . .</v>
      </c>
      <c r="I314" s="92">
        <f>VFFHS</f>
        <v>13.68</v>
      </c>
      <c r="J314" s="44" t="s">
        <v>515</v>
      </c>
      <c r="K314" s="225" t="s">
        <v>516</v>
      </c>
      <c r="L314" s="134"/>
      <c r="M314" s="152" t="s">
        <v>517</v>
      </c>
      <c r="N314" s="153"/>
      <c r="O314" s="154" t="str">
        <f>P</f>
        <v>. . .</v>
      </c>
      <c r="P314" s="92" t="s">
        <v>518</v>
      </c>
      <c r="Q314" s="155">
        <f>TVAFLHTSMETRO</f>
        <v>3.1379600000000005</v>
      </c>
      <c r="R314" s="156">
        <f>TVAFLHTSCORSE</f>
        <v>2.0813</v>
      </c>
      <c r="S314" s="166"/>
      <c r="W314" s="195">
        <v>5902</v>
      </c>
      <c r="X314" s="195"/>
      <c r="Y314" s="28">
        <v>9348</v>
      </c>
      <c r="Z314" s="28"/>
      <c r="AA314" s="161"/>
      <c r="AB314" s="224"/>
      <c r="AC314" s="30"/>
      <c r="AD314" s="139"/>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row>
    <row r="315" spans="1:59" ht="12.75">
      <c r="A315" s="42"/>
      <c r="B315" s="565"/>
      <c r="C315" s="577"/>
      <c r="D315" s="236"/>
      <c r="E315" s="237"/>
      <c r="F315" s="238"/>
      <c r="G315" s="239"/>
      <c r="H315" s="240"/>
      <c r="I315" s="241"/>
      <c r="J315" s="241"/>
      <c r="K315" s="590"/>
      <c r="L315" s="242"/>
      <c r="M315" s="243"/>
      <c r="N315" s="244"/>
      <c r="O315" s="245"/>
      <c r="P315" s="269"/>
      <c r="Q315" s="246"/>
      <c r="R315" s="357"/>
      <c r="S315" s="166"/>
      <c r="W315" s="27"/>
      <c r="X315" s="27"/>
      <c r="Y315" s="28"/>
      <c r="Z315" s="28"/>
      <c r="AA315" s="161"/>
      <c r="AB315" s="224"/>
      <c r="AC315" s="30"/>
      <c r="AD315" s="139"/>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row>
    <row r="316" spans="1:59" ht="12.75">
      <c r="A316" s="42">
        <v>151</v>
      </c>
      <c r="B316" s="563" t="s">
        <v>519</v>
      </c>
      <c r="C316" s="568" t="s">
        <v>520</v>
      </c>
      <c r="D316" s="45" t="str">
        <f>P</f>
        <v>. . .</v>
      </c>
      <c r="E316" s="98" t="s">
        <v>521</v>
      </c>
      <c r="F316" s="133"/>
      <c r="G316" s="100" t="str">
        <f>P</f>
        <v>. . .</v>
      </c>
      <c r="H316" s="101" t="str">
        <f>P</f>
        <v>. . .</v>
      </c>
      <c r="I316" s="44" t="str">
        <f>R</f>
        <v>Réelle</v>
      </c>
      <c r="J316" s="44" t="s">
        <v>522</v>
      </c>
      <c r="K316" s="225" t="s">
        <v>523</v>
      </c>
      <c r="L316" s="134"/>
      <c r="M316" s="152" t="s">
        <v>524</v>
      </c>
      <c r="N316" s="153"/>
      <c r="O316" s="154" t="str">
        <f>P</f>
        <v>. . .</v>
      </c>
      <c r="P316" s="92" t="s">
        <v>525</v>
      </c>
      <c r="Q316" s="92" t="str">
        <f>VI</f>
        <v>(25)</v>
      </c>
      <c r="R316" s="171" t="str">
        <f>VI</f>
        <v>(25)</v>
      </c>
      <c r="S316" s="166"/>
      <c r="W316" s="167" t="s">
        <v>526</v>
      </c>
      <c r="X316" s="167"/>
      <c r="Y316" s="161">
        <v>9348</v>
      </c>
      <c r="Z316" s="161"/>
      <c r="AA316" s="161"/>
      <c r="AB316" s="224"/>
      <c r="AC316" s="30"/>
      <c r="AD316" s="139"/>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row>
    <row r="317" spans="1:59" ht="12.75">
      <c r="A317" s="42"/>
      <c r="B317" s="563"/>
      <c r="C317" s="585"/>
      <c r="D317" s="45"/>
      <c r="E317" s="98"/>
      <c r="F317" s="133"/>
      <c r="G317" s="100"/>
      <c r="H317" s="101"/>
      <c r="I317" s="44"/>
      <c r="J317" s="44"/>
      <c r="K317" s="225"/>
      <c r="L317" s="134"/>
      <c r="M317" s="152"/>
      <c r="N317" s="153"/>
      <c r="O317" s="154"/>
      <c r="P317" s="92"/>
      <c r="Q317" s="155"/>
      <c r="R317" s="156"/>
      <c r="S317" s="166"/>
      <c r="T317" s="358"/>
      <c r="U317" s="359"/>
      <c r="V317" s="360"/>
      <c r="W317" s="363"/>
      <c r="X317" s="363"/>
      <c r="Y317" s="362"/>
      <c r="Z317" s="362"/>
      <c r="AA317" s="28"/>
      <c r="AB317" s="224"/>
      <c r="AC317" s="30"/>
      <c r="AD317" s="139"/>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row>
    <row r="318" spans="1:59" ht="12.75">
      <c r="A318" s="42"/>
      <c r="B318" s="563"/>
      <c r="C318" s="173" t="s">
        <v>527</v>
      </c>
      <c r="D318" s="45"/>
      <c r="E318" s="98"/>
      <c r="F318" s="133"/>
      <c r="G318" s="100"/>
      <c r="H318" s="101"/>
      <c r="I318" s="44"/>
      <c r="J318" s="44"/>
      <c r="K318" s="225"/>
      <c r="L318" s="134"/>
      <c r="M318" s="152"/>
      <c r="N318" s="153"/>
      <c r="O318" s="154"/>
      <c r="P318" s="92"/>
      <c r="Q318" s="155"/>
      <c r="R318" s="156"/>
      <c r="S318" s="23"/>
      <c r="T318" s="157"/>
      <c r="U318" s="158"/>
      <c r="V318" s="159"/>
      <c r="W318" s="160"/>
      <c r="X318" s="160"/>
      <c r="Y318" s="161"/>
      <c r="Z318" s="161"/>
      <c r="AA318" s="161"/>
      <c r="AB318" s="224"/>
      <c r="AC318" s="30"/>
      <c r="AD318" s="139"/>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row>
    <row r="319" spans="1:59" ht="12.75">
      <c r="A319" s="42"/>
      <c r="B319" s="563"/>
      <c r="C319" s="591"/>
      <c r="D319" s="45"/>
      <c r="E319" s="98"/>
      <c r="F319" s="133"/>
      <c r="G319" s="100"/>
      <c r="H319" s="101"/>
      <c r="I319" s="44"/>
      <c r="J319" s="44"/>
      <c r="K319" s="225"/>
      <c r="L319" s="134"/>
      <c r="M319" s="152"/>
      <c r="N319" s="153"/>
      <c r="O319" s="154"/>
      <c r="P319" s="92"/>
      <c r="Q319" s="155"/>
      <c r="R319" s="156"/>
      <c r="S319" s="23"/>
      <c r="T319" s="157"/>
      <c r="U319" s="158"/>
      <c r="V319" s="159"/>
      <c r="W319" s="160"/>
      <c r="X319" s="160"/>
      <c r="Y319" s="161"/>
      <c r="Z319" s="161"/>
      <c r="AA319" s="362"/>
      <c r="AB319" s="224"/>
      <c r="AC319" s="30"/>
      <c r="AD319" s="139"/>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row>
    <row r="320" spans="1:59" ht="12.75">
      <c r="A320" s="42"/>
      <c r="B320" s="563"/>
      <c r="C320" s="592" t="s">
        <v>528</v>
      </c>
      <c r="D320" s="45"/>
      <c r="E320" s="98"/>
      <c r="F320" s="133"/>
      <c r="G320" s="100"/>
      <c r="H320" s="101"/>
      <c r="I320" s="44"/>
      <c r="J320" s="44"/>
      <c r="K320" s="225"/>
      <c r="L320" s="134"/>
      <c r="M320" s="152"/>
      <c r="N320" s="153"/>
      <c r="O320" s="154"/>
      <c r="P320" s="92"/>
      <c r="Q320" s="155"/>
      <c r="R320" s="156"/>
      <c r="S320" s="166"/>
      <c r="T320" s="157"/>
      <c r="U320" s="158"/>
      <c r="V320" s="159"/>
      <c r="W320" s="160"/>
      <c r="X320" s="160"/>
      <c r="Y320" s="161"/>
      <c r="Z320" s="161"/>
      <c r="AA320" s="161"/>
      <c r="AB320" s="224"/>
      <c r="AC320" s="30"/>
      <c r="AD320" s="139"/>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row>
    <row r="321" spans="1:59" ht="12.75">
      <c r="A321" s="42">
        <v>152</v>
      </c>
      <c r="B321" s="23" t="s">
        <v>529</v>
      </c>
      <c r="C321" s="91" t="s">
        <v>530</v>
      </c>
      <c r="D321" s="44" t="s">
        <v>531</v>
      </c>
      <c r="E321" s="98">
        <v>0.012</v>
      </c>
      <c r="F321" s="133"/>
      <c r="G321" s="100"/>
      <c r="H321" s="101"/>
      <c r="I321" s="44" t="str">
        <f>R</f>
        <v>Réelle</v>
      </c>
      <c r="J321" s="44" t="s">
        <v>532</v>
      </c>
      <c r="K321" s="593">
        <v>0.024</v>
      </c>
      <c r="L321" s="133"/>
      <c r="M321" s="152" t="str">
        <f>"(9)"</f>
        <v>(9)</v>
      </c>
      <c r="N321" s="153"/>
      <c r="O321" s="154" t="str">
        <f>P</f>
        <v>. . .</v>
      </c>
      <c r="P321" s="92" t="s">
        <v>533</v>
      </c>
      <c r="Q321" s="92" t="str">
        <f>VI</f>
        <v>(25)</v>
      </c>
      <c r="R321" s="171" t="str">
        <f>VI</f>
        <v>(25)</v>
      </c>
      <c r="S321" s="295"/>
      <c r="W321" s="160" t="str">
        <f>t</f>
        <v>TVO</v>
      </c>
      <c r="X321" s="160"/>
      <c r="Y321" s="161">
        <v>4004</v>
      </c>
      <c r="Z321" s="161">
        <v>9348</v>
      </c>
      <c r="AA321" s="161">
        <v>9301</v>
      </c>
      <c r="AB321" s="224"/>
      <c r="AC321" s="30"/>
      <c r="AD321" s="139"/>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row>
    <row r="322" spans="1:92" s="512" customFormat="1" ht="12.75">
      <c r="A322" s="197">
        <v>153</v>
      </c>
      <c r="B322" s="572" t="s">
        <v>534</v>
      </c>
      <c r="C322" s="594" t="s">
        <v>535</v>
      </c>
      <c r="D322" s="200" t="s">
        <v>536</v>
      </c>
      <c r="E322" s="201" t="s">
        <v>537</v>
      </c>
      <c r="F322" s="202"/>
      <c r="G322" s="203"/>
      <c r="H322" s="204"/>
      <c r="I322" s="205" t="str">
        <f>R</f>
        <v>Réelle</v>
      </c>
      <c r="J322" s="205" t="str">
        <f>P</f>
        <v>. . .</v>
      </c>
      <c r="K322" s="595" t="s">
        <v>538</v>
      </c>
      <c r="L322" s="206"/>
      <c r="M322" s="207" t="s">
        <v>539</v>
      </c>
      <c r="N322" s="208"/>
      <c r="O322" s="209" t="str">
        <f>P</f>
        <v>. . .</v>
      </c>
      <c r="P322" s="210" t="s">
        <v>540</v>
      </c>
      <c r="Q322" s="210" t="str">
        <f>VI</f>
        <v>(25)</v>
      </c>
      <c r="R322" s="211" t="str">
        <f>VI</f>
        <v>(25)</v>
      </c>
      <c r="S322" s="555"/>
      <c r="T322" s="501"/>
      <c r="U322" s="502"/>
      <c r="V322" s="503"/>
      <c r="W322" s="596" t="str">
        <f>t</f>
        <v>TVO</v>
      </c>
      <c r="X322" s="596"/>
      <c r="Y322" s="505">
        <v>9301</v>
      </c>
      <c r="Z322" s="505"/>
      <c r="AA322" s="505"/>
      <c r="AB322" s="597"/>
      <c r="AC322" s="508"/>
      <c r="AD322" s="598"/>
      <c r="AE322" s="500"/>
      <c r="AF322" s="500"/>
      <c r="AG322" s="500"/>
      <c r="AH322" s="500"/>
      <c r="AI322" s="500"/>
      <c r="AJ322" s="500"/>
      <c r="AK322" s="500"/>
      <c r="AL322" s="500"/>
      <c r="AM322" s="500"/>
      <c r="AN322" s="500"/>
      <c r="AO322" s="500"/>
      <c r="AP322" s="500"/>
      <c r="AQ322" s="500"/>
      <c r="AR322" s="500"/>
      <c r="AS322" s="500"/>
      <c r="AT322" s="500"/>
      <c r="AU322" s="500"/>
      <c r="AV322" s="500"/>
      <c r="AW322" s="500"/>
      <c r="AX322" s="500"/>
      <c r="AY322" s="500"/>
      <c r="AZ322" s="500"/>
      <c r="BA322" s="500"/>
      <c r="BB322" s="500"/>
      <c r="BC322" s="500"/>
      <c r="BD322" s="500"/>
      <c r="BE322" s="500"/>
      <c r="BF322" s="500"/>
      <c r="BG322" s="500"/>
      <c r="BH322" s="511"/>
      <c r="BI322" s="511"/>
      <c r="BJ322" s="511"/>
      <c r="BK322" s="511"/>
      <c r="BL322" s="511"/>
      <c r="BM322" s="511"/>
      <c r="BN322" s="511"/>
      <c r="BO322" s="511"/>
      <c r="BP322" s="511"/>
      <c r="BQ322" s="511"/>
      <c r="BR322" s="511"/>
      <c r="BS322" s="511"/>
      <c r="BT322" s="511"/>
      <c r="BU322" s="511"/>
      <c r="BV322" s="511"/>
      <c r="BW322" s="511"/>
      <c r="BX322" s="511"/>
      <c r="BY322" s="511"/>
      <c r="BZ322" s="511"/>
      <c r="CA322" s="511"/>
      <c r="CB322" s="511"/>
      <c r="CC322" s="511"/>
      <c r="CD322" s="511"/>
      <c r="CE322" s="511"/>
      <c r="CF322" s="511"/>
      <c r="CG322" s="511"/>
      <c r="CH322" s="511"/>
      <c r="CI322" s="511"/>
      <c r="CJ322" s="511"/>
      <c r="CK322" s="511"/>
      <c r="CL322" s="511"/>
      <c r="CM322" s="511"/>
      <c r="CN322" s="511"/>
    </row>
    <row r="323" spans="1:59" ht="12.75">
      <c r="A323" s="42"/>
      <c r="B323" s="563"/>
      <c r="C323" s="592" t="s">
        <v>541</v>
      </c>
      <c r="D323" s="45"/>
      <c r="E323" s="98"/>
      <c r="F323" s="133"/>
      <c r="G323" s="100"/>
      <c r="H323" s="101"/>
      <c r="I323" s="44"/>
      <c r="J323" s="44"/>
      <c r="K323" s="225"/>
      <c r="L323" s="134"/>
      <c r="M323" s="152"/>
      <c r="N323" s="153"/>
      <c r="O323" s="154"/>
      <c r="P323" s="92"/>
      <c r="Q323" s="155"/>
      <c r="R323" s="156"/>
      <c r="S323" s="166"/>
      <c r="T323" s="54"/>
      <c r="U323" s="55"/>
      <c r="V323" s="56"/>
      <c r="W323" s="57"/>
      <c r="X323" s="57"/>
      <c r="Y323" s="58"/>
      <c r="Z323" s="58"/>
      <c r="AA323" s="161"/>
      <c r="AB323" s="224"/>
      <c r="AC323" s="30"/>
      <c r="AD323" s="139"/>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row>
    <row r="324" spans="1:59" ht="12.75">
      <c r="A324" s="42"/>
      <c r="B324" s="563"/>
      <c r="C324" s="599" t="s">
        <v>542</v>
      </c>
      <c r="D324" s="45"/>
      <c r="E324" s="98"/>
      <c r="F324" s="133"/>
      <c r="G324" s="100"/>
      <c r="H324" s="101"/>
      <c r="I324" s="44"/>
      <c r="J324" s="44"/>
      <c r="K324" s="225"/>
      <c r="L324" s="134"/>
      <c r="M324" s="152"/>
      <c r="N324" s="153"/>
      <c r="O324" s="154"/>
      <c r="P324" s="92"/>
      <c r="Q324" s="155"/>
      <c r="R324" s="156"/>
      <c r="S324" s="166"/>
      <c r="T324" s="157"/>
      <c r="U324" s="158"/>
      <c r="V324" s="159"/>
      <c r="W324" s="160"/>
      <c r="X324" s="160"/>
      <c r="Y324" s="161"/>
      <c r="Z324" s="161"/>
      <c r="AA324" s="161"/>
      <c r="AB324" s="224"/>
      <c r="AC324" s="30"/>
      <c r="AD324" s="139"/>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row>
    <row r="325" spans="1:59" s="5" customFormat="1" ht="12.75">
      <c r="A325" s="42">
        <v>154</v>
      </c>
      <c r="B325" s="563" t="s">
        <v>543</v>
      </c>
      <c r="C325" s="599" t="s">
        <v>544</v>
      </c>
      <c r="D325" s="45" t="s">
        <v>545</v>
      </c>
      <c r="E325" s="98" t="s">
        <v>546</v>
      </c>
      <c r="F325" s="133"/>
      <c r="G325" s="100"/>
      <c r="H325" s="101"/>
      <c r="I325" s="44" t="str">
        <f>R</f>
        <v>Réelle</v>
      </c>
      <c r="J325" s="44" t="s">
        <v>547</v>
      </c>
      <c r="K325" s="225" t="s">
        <v>548</v>
      </c>
      <c r="L325" s="134"/>
      <c r="M325" s="152" t="str">
        <f>"(9)"</f>
        <v>(9)</v>
      </c>
      <c r="N325" s="153"/>
      <c r="O325" s="154" t="str">
        <f>P</f>
        <v>. . .</v>
      </c>
      <c r="P325" s="92" t="s">
        <v>549</v>
      </c>
      <c r="Q325" s="92" t="str">
        <f aca="true" t="shared" si="6" ref="Q325:R327">VI</f>
        <v>(25)</v>
      </c>
      <c r="R325" s="171" t="str">
        <f t="shared" si="6"/>
        <v>(25)</v>
      </c>
      <c r="S325" s="166"/>
      <c r="T325" s="7"/>
      <c r="U325" s="8"/>
      <c r="V325" s="383"/>
      <c r="W325" s="160" t="str">
        <f>t</f>
        <v>TVO</v>
      </c>
      <c r="X325" s="160"/>
      <c r="Y325" s="161">
        <v>4004</v>
      </c>
      <c r="Z325" s="161">
        <v>9348</v>
      </c>
      <c r="AA325" s="58"/>
      <c r="AB325" s="224"/>
      <c r="AC325" s="30"/>
      <c r="AD325" s="139"/>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row>
    <row r="326" spans="1:59" ht="12.75">
      <c r="A326" s="42">
        <v>155</v>
      </c>
      <c r="B326" s="563" t="s">
        <v>550</v>
      </c>
      <c r="C326" s="599" t="s">
        <v>551</v>
      </c>
      <c r="D326" s="45" t="s">
        <v>552</v>
      </c>
      <c r="E326" s="98" t="s">
        <v>553</v>
      </c>
      <c r="F326" s="133"/>
      <c r="G326" s="100"/>
      <c r="H326" s="101"/>
      <c r="I326" s="44" t="str">
        <f>R</f>
        <v>Réelle</v>
      </c>
      <c r="J326" s="44" t="str">
        <f>P</f>
        <v>. . .</v>
      </c>
      <c r="K326" s="225" t="s">
        <v>554</v>
      </c>
      <c r="L326" s="134"/>
      <c r="M326" s="152" t="s">
        <v>555</v>
      </c>
      <c r="N326" s="153"/>
      <c r="O326" s="154" t="str">
        <f>P</f>
        <v>. . .</v>
      </c>
      <c r="P326" s="92" t="s">
        <v>556</v>
      </c>
      <c r="Q326" s="92" t="str">
        <f t="shared" si="6"/>
        <v>(25)</v>
      </c>
      <c r="R326" s="171" t="str">
        <f t="shared" si="6"/>
        <v>(25)</v>
      </c>
      <c r="S326" s="166"/>
      <c r="W326" s="160" t="str">
        <f>t</f>
        <v>TVO</v>
      </c>
      <c r="X326" s="160"/>
      <c r="Y326" s="161"/>
      <c r="Z326" s="161"/>
      <c r="AA326" s="58"/>
      <c r="AB326" s="224"/>
      <c r="AC326" s="30"/>
      <c r="AD326" s="139"/>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row>
    <row r="327" spans="1:59" ht="12.75">
      <c r="A327" s="42">
        <v>156</v>
      </c>
      <c r="B327" s="563" t="s">
        <v>557</v>
      </c>
      <c r="C327" s="599" t="s">
        <v>558</v>
      </c>
      <c r="D327" s="45" t="s">
        <v>559</v>
      </c>
      <c r="E327" s="98" t="s">
        <v>560</v>
      </c>
      <c r="F327" s="133"/>
      <c r="G327" s="100"/>
      <c r="H327" s="101"/>
      <c r="I327" s="44" t="str">
        <f>R</f>
        <v>Réelle</v>
      </c>
      <c r="J327" s="44" t="s">
        <v>561</v>
      </c>
      <c r="K327" s="225" t="s">
        <v>562</v>
      </c>
      <c r="L327" s="134"/>
      <c r="M327" s="152" t="str">
        <f>"(9)"</f>
        <v>(9)</v>
      </c>
      <c r="N327" s="153"/>
      <c r="O327" s="154" t="str">
        <f>P</f>
        <v>. . .</v>
      </c>
      <c r="P327" s="92" t="s">
        <v>563</v>
      </c>
      <c r="Q327" s="92" t="str">
        <f t="shared" si="6"/>
        <v>(25)</v>
      </c>
      <c r="R327" s="171" t="str">
        <f t="shared" si="6"/>
        <v>(25)</v>
      </c>
      <c r="S327" s="154"/>
      <c r="W327" s="160" t="str">
        <f>t</f>
        <v>TVO</v>
      </c>
      <c r="X327" s="160"/>
      <c r="Y327" s="161">
        <v>4004</v>
      </c>
      <c r="Z327" s="161">
        <v>9348</v>
      </c>
      <c r="AA327" s="161"/>
      <c r="AB327" s="224"/>
      <c r="AC327" s="30"/>
      <c r="AD327" s="139"/>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row>
    <row r="328" spans="1:59" ht="12.75">
      <c r="A328" s="42"/>
      <c r="B328" s="563"/>
      <c r="C328" s="599" t="s">
        <v>564</v>
      </c>
      <c r="D328" s="45"/>
      <c r="E328" s="98"/>
      <c r="F328" s="133"/>
      <c r="G328" s="100"/>
      <c r="H328" s="101"/>
      <c r="I328" s="44"/>
      <c r="J328" s="44"/>
      <c r="K328" s="225"/>
      <c r="L328" s="134"/>
      <c r="M328" s="152"/>
      <c r="N328" s="153"/>
      <c r="O328" s="154"/>
      <c r="P328" s="92"/>
      <c r="Q328" s="155"/>
      <c r="R328" s="156"/>
      <c r="S328" s="166"/>
      <c r="W328" s="57"/>
      <c r="X328" s="57"/>
      <c r="Y328" s="58"/>
      <c r="Z328" s="58"/>
      <c r="AA328" s="58"/>
      <c r="AB328" s="224"/>
      <c r="AC328" s="30"/>
      <c r="AD328" s="139"/>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row>
    <row r="329" spans="1:59" ht="12.75">
      <c r="A329" s="42">
        <v>157</v>
      </c>
      <c r="B329" s="563" t="s">
        <v>565</v>
      </c>
      <c r="C329" s="599" t="s">
        <v>566</v>
      </c>
      <c r="D329" s="45" t="s">
        <v>567</v>
      </c>
      <c r="E329" s="98" t="s">
        <v>568</v>
      </c>
      <c r="F329" s="133"/>
      <c r="G329" s="100"/>
      <c r="H329" s="101"/>
      <c r="I329" s="44" t="str">
        <f>R</f>
        <v>Réelle</v>
      </c>
      <c r="J329" s="44" t="s">
        <v>569</v>
      </c>
      <c r="K329" s="225" t="s">
        <v>570</v>
      </c>
      <c r="L329" s="134"/>
      <c r="M329" s="152" t="str">
        <f>"(9)"</f>
        <v>(9)</v>
      </c>
      <c r="N329" s="153"/>
      <c r="O329" s="154" t="str">
        <f>P</f>
        <v>. . .</v>
      </c>
      <c r="P329" s="92" t="s">
        <v>571</v>
      </c>
      <c r="Q329" s="92" t="str">
        <f>VI</f>
        <v>(25)</v>
      </c>
      <c r="R329" s="171" t="str">
        <f>VI</f>
        <v>(25)</v>
      </c>
      <c r="S329" s="154"/>
      <c r="W329" s="160" t="str">
        <f>t</f>
        <v>TVO</v>
      </c>
      <c r="X329" s="160"/>
      <c r="Y329" s="161">
        <v>4004</v>
      </c>
      <c r="Z329" s="161">
        <v>9348</v>
      </c>
      <c r="AA329" s="161"/>
      <c r="AB329" s="224"/>
      <c r="AC329" s="30"/>
      <c r="AD329" s="139"/>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row>
    <row r="330" spans="1:59" ht="12.75">
      <c r="A330" s="42">
        <v>158</v>
      </c>
      <c r="B330" s="563" t="s">
        <v>572</v>
      </c>
      <c r="C330" s="599" t="s">
        <v>573</v>
      </c>
      <c r="D330" s="45" t="s">
        <v>574</v>
      </c>
      <c r="E330" s="98" t="s">
        <v>575</v>
      </c>
      <c r="F330" s="133"/>
      <c r="G330" s="100"/>
      <c r="H330" s="101"/>
      <c r="I330" s="44" t="str">
        <f>R</f>
        <v>Réelle</v>
      </c>
      <c r="J330" s="44" t="s">
        <v>576</v>
      </c>
      <c r="K330" s="225" t="s">
        <v>577</v>
      </c>
      <c r="L330" s="134"/>
      <c r="M330" s="152" t="str">
        <f>"(9)"</f>
        <v>(9)</v>
      </c>
      <c r="N330" s="153"/>
      <c r="O330" s="154" t="str">
        <f>P</f>
        <v>. . .</v>
      </c>
      <c r="P330" s="92" t="s">
        <v>578</v>
      </c>
      <c r="Q330" s="92" t="str">
        <f>VI</f>
        <v>(25)</v>
      </c>
      <c r="R330" s="171" t="str">
        <f>VI</f>
        <v>(25)</v>
      </c>
      <c r="S330" s="154"/>
      <c r="W330" s="160" t="str">
        <f>t</f>
        <v>TVO</v>
      </c>
      <c r="X330" s="160"/>
      <c r="Y330" s="161">
        <v>4004</v>
      </c>
      <c r="Z330" s="161">
        <v>9348</v>
      </c>
      <c r="AA330" s="161"/>
      <c r="AB330" s="224"/>
      <c r="AC330" s="30"/>
      <c r="AD330" s="139"/>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row>
    <row r="331" spans="1:92" s="542" customFormat="1" ht="12.75">
      <c r="A331" s="42"/>
      <c r="B331" s="563"/>
      <c r="C331" s="599" t="s">
        <v>579</v>
      </c>
      <c r="D331" s="45"/>
      <c r="E331" s="98"/>
      <c r="F331" s="133"/>
      <c r="G331" s="100"/>
      <c r="H331" s="101"/>
      <c r="I331" s="44"/>
      <c r="J331" s="44"/>
      <c r="K331" s="225"/>
      <c r="L331" s="134"/>
      <c r="M331" s="152"/>
      <c r="N331" s="153"/>
      <c r="O331" s="154"/>
      <c r="P331" s="92"/>
      <c r="Q331" s="155"/>
      <c r="R331" s="156"/>
      <c r="S331" s="166"/>
      <c r="T331" s="7"/>
      <c r="U331" s="8"/>
      <c r="V331" s="9"/>
      <c r="W331" s="57"/>
      <c r="X331" s="57"/>
      <c r="Y331" s="58"/>
      <c r="Z331" s="58"/>
      <c r="AA331" s="58"/>
      <c r="AB331" s="224"/>
      <c r="AC331" s="30"/>
      <c r="AD331" s="139"/>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row>
    <row r="332" spans="1:59" ht="12.75">
      <c r="A332" s="42">
        <v>159</v>
      </c>
      <c r="B332" s="563" t="s">
        <v>580</v>
      </c>
      <c r="C332" s="599" t="s">
        <v>581</v>
      </c>
      <c r="D332" s="45" t="s">
        <v>582</v>
      </c>
      <c r="E332" s="98" t="s">
        <v>583</v>
      </c>
      <c r="F332" s="133"/>
      <c r="G332" s="100"/>
      <c r="H332" s="101"/>
      <c r="I332" s="44" t="str">
        <f>R</f>
        <v>Réelle</v>
      </c>
      <c r="J332" s="44" t="s">
        <v>584</v>
      </c>
      <c r="K332" s="225" t="s">
        <v>585</v>
      </c>
      <c r="L332" s="134"/>
      <c r="M332" s="152" t="str">
        <f>"(9)"</f>
        <v>(9)</v>
      </c>
      <c r="N332" s="153"/>
      <c r="O332" s="154" t="str">
        <f>P</f>
        <v>. . .</v>
      </c>
      <c r="P332" s="92" t="s">
        <v>586</v>
      </c>
      <c r="Q332" s="92" t="str">
        <f aca="true" t="shared" si="7" ref="Q332:R334">VI</f>
        <v>(25)</v>
      </c>
      <c r="R332" s="171" t="str">
        <f t="shared" si="7"/>
        <v>(25)</v>
      </c>
      <c r="S332" s="154"/>
      <c r="W332" s="160" t="str">
        <f>t</f>
        <v>TVO</v>
      </c>
      <c r="X332" s="160"/>
      <c r="Y332" s="161">
        <v>4004</v>
      </c>
      <c r="Z332" s="161">
        <v>9348</v>
      </c>
      <c r="AA332" s="161"/>
      <c r="AB332" s="224"/>
      <c r="AC332" s="30"/>
      <c r="AD332" s="139"/>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row>
    <row r="333" spans="1:59" ht="12.75">
      <c r="A333" s="42">
        <v>160</v>
      </c>
      <c r="B333" s="563" t="s">
        <v>587</v>
      </c>
      <c r="C333" s="599" t="s">
        <v>588</v>
      </c>
      <c r="D333" s="45" t="s">
        <v>589</v>
      </c>
      <c r="E333" s="98" t="s">
        <v>590</v>
      </c>
      <c r="F333" s="133"/>
      <c r="G333" s="100"/>
      <c r="H333" s="101"/>
      <c r="I333" s="44" t="str">
        <f>R</f>
        <v>Réelle</v>
      </c>
      <c r="J333" s="44" t="s">
        <v>591</v>
      </c>
      <c r="K333" s="225" t="s">
        <v>592</v>
      </c>
      <c r="L333" s="134"/>
      <c r="M333" s="152" t="str">
        <f>"(9)"</f>
        <v>(9)</v>
      </c>
      <c r="N333" s="153"/>
      <c r="O333" s="154" t="str">
        <f>P</f>
        <v>. . .</v>
      </c>
      <c r="P333" s="92" t="s">
        <v>593</v>
      </c>
      <c r="Q333" s="92" t="str">
        <f t="shared" si="7"/>
        <v>(25)</v>
      </c>
      <c r="R333" s="171" t="str">
        <f t="shared" si="7"/>
        <v>(25)</v>
      </c>
      <c r="S333" s="154"/>
      <c r="W333" s="160" t="str">
        <f>t</f>
        <v>TVO</v>
      </c>
      <c r="X333" s="160"/>
      <c r="Y333" s="161">
        <v>4004</v>
      </c>
      <c r="Z333" s="161">
        <v>9348</v>
      </c>
      <c r="AA333" s="161"/>
      <c r="AB333" s="224"/>
      <c r="AC333" s="30"/>
      <c r="AD333" s="139"/>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row>
    <row r="334" spans="1:59" ht="12.75">
      <c r="A334" s="42">
        <v>161</v>
      </c>
      <c r="B334" s="563" t="s">
        <v>594</v>
      </c>
      <c r="C334" s="599" t="s">
        <v>595</v>
      </c>
      <c r="D334" s="45" t="s">
        <v>596</v>
      </c>
      <c r="E334" s="98" t="s">
        <v>597</v>
      </c>
      <c r="F334" s="133"/>
      <c r="G334" s="100"/>
      <c r="H334" s="101"/>
      <c r="I334" s="44" t="str">
        <f>R</f>
        <v>Réelle</v>
      </c>
      <c r="J334" s="44" t="s">
        <v>598</v>
      </c>
      <c r="K334" s="225" t="s">
        <v>599</v>
      </c>
      <c r="L334" s="134"/>
      <c r="M334" s="152" t="str">
        <f>"(9)"</f>
        <v>(9)</v>
      </c>
      <c r="N334" s="153"/>
      <c r="O334" s="154" t="str">
        <f>P</f>
        <v>. . .</v>
      </c>
      <c r="P334" s="92" t="s">
        <v>600</v>
      </c>
      <c r="Q334" s="92" t="str">
        <f t="shared" si="7"/>
        <v>(25)</v>
      </c>
      <c r="R334" s="171" t="str">
        <f t="shared" si="7"/>
        <v>(25)</v>
      </c>
      <c r="S334" s="166"/>
      <c r="W334" s="160" t="str">
        <f>t</f>
        <v>TVO</v>
      </c>
      <c r="X334" s="160"/>
      <c r="Y334" s="161">
        <v>4004</v>
      </c>
      <c r="Z334" s="161">
        <v>9348</v>
      </c>
      <c r="AA334" s="58"/>
      <c r="AB334" s="224"/>
      <c r="AC334" s="30"/>
      <c r="AD334" s="139"/>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row>
    <row r="335" spans="1:59" ht="12.75">
      <c r="A335" s="42"/>
      <c r="B335" s="563"/>
      <c r="C335" s="599"/>
      <c r="D335" s="45"/>
      <c r="E335" s="98"/>
      <c r="F335" s="133"/>
      <c r="G335" s="100"/>
      <c r="H335" s="101"/>
      <c r="I335" s="44"/>
      <c r="J335" s="44"/>
      <c r="K335" s="225"/>
      <c r="L335" s="134"/>
      <c r="M335" s="152"/>
      <c r="N335" s="153"/>
      <c r="O335" s="154"/>
      <c r="P335" s="92"/>
      <c r="Q335" s="155"/>
      <c r="R335" s="156"/>
      <c r="S335" s="154"/>
      <c r="T335" s="54"/>
      <c r="U335" s="55"/>
      <c r="V335" s="56"/>
      <c r="W335" s="57"/>
      <c r="X335" s="57"/>
      <c r="Y335" s="58"/>
      <c r="Z335" s="58"/>
      <c r="AA335" s="58"/>
      <c r="AB335" s="224"/>
      <c r="AC335" s="30"/>
      <c r="AD335" s="139"/>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row>
    <row r="336" spans="1:59" ht="12.75">
      <c r="A336" s="42"/>
      <c r="B336" s="563"/>
      <c r="C336" s="173" t="s">
        <v>601</v>
      </c>
      <c r="D336" s="45"/>
      <c r="E336" s="98"/>
      <c r="F336" s="133"/>
      <c r="G336" s="100"/>
      <c r="H336" s="101"/>
      <c r="I336" s="44"/>
      <c r="J336" s="44"/>
      <c r="K336" s="225"/>
      <c r="L336" s="134"/>
      <c r="M336" s="152"/>
      <c r="N336" s="153"/>
      <c r="O336" s="154"/>
      <c r="P336" s="92"/>
      <c r="Q336" s="155"/>
      <c r="R336" s="156"/>
      <c r="S336" s="166"/>
      <c r="T336" s="157"/>
      <c r="U336" s="158"/>
      <c r="V336" s="159"/>
      <c r="W336" s="160"/>
      <c r="X336" s="160"/>
      <c r="Y336" s="161"/>
      <c r="Z336" s="161"/>
      <c r="AA336" s="58"/>
      <c r="AB336" s="224"/>
      <c r="AC336" s="30"/>
      <c r="AD336" s="139"/>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row>
    <row r="337" spans="1:59" ht="12.75">
      <c r="A337" s="42"/>
      <c r="B337" s="563"/>
      <c r="C337" s="591"/>
      <c r="D337" s="45"/>
      <c r="E337" s="98"/>
      <c r="F337" s="133"/>
      <c r="G337" s="100"/>
      <c r="H337" s="101"/>
      <c r="I337" s="44"/>
      <c r="J337" s="44"/>
      <c r="K337" s="225"/>
      <c r="L337" s="134"/>
      <c r="M337" s="152"/>
      <c r="N337" s="153"/>
      <c r="O337" s="154"/>
      <c r="P337" s="92"/>
      <c r="Q337" s="155"/>
      <c r="R337" s="156"/>
      <c r="S337" s="154"/>
      <c r="T337" s="157"/>
      <c r="U337" s="158"/>
      <c r="V337" s="159"/>
      <c r="W337" s="160"/>
      <c r="X337" s="160"/>
      <c r="Y337" s="161"/>
      <c r="Z337" s="161"/>
      <c r="AA337" s="161"/>
      <c r="AB337" s="224"/>
      <c r="AC337" s="30"/>
      <c r="AD337" s="139"/>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row>
    <row r="338" spans="1:59" ht="12.75">
      <c r="A338" s="42"/>
      <c r="B338" s="563"/>
      <c r="C338" s="592" t="s">
        <v>602</v>
      </c>
      <c r="D338" s="45"/>
      <c r="E338" s="98"/>
      <c r="F338" s="133"/>
      <c r="G338" s="100"/>
      <c r="H338" s="101"/>
      <c r="I338" s="44"/>
      <c r="J338" s="44"/>
      <c r="K338" s="225"/>
      <c r="L338" s="134"/>
      <c r="M338" s="152"/>
      <c r="N338" s="153"/>
      <c r="O338" s="154"/>
      <c r="P338" s="92"/>
      <c r="Q338" s="155"/>
      <c r="R338" s="156"/>
      <c r="S338" s="154"/>
      <c r="T338" s="157"/>
      <c r="U338" s="158"/>
      <c r="V338" s="159"/>
      <c r="W338" s="160"/>
      <c r="X338" s="160"/>
      <c r="Y338" s="161"/>
      <c r="Z338" s="161"/>
      <c r="AA338" s="58"/>
      <c r="AB338" s="224"/>
      <c r="AC338" s="30"/>
      <c r="AD338" s="139"/>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row>
    <row r="339" spans="1:59" ht="12.75">
      <c r="A339" s="42"/>
      <c r="B339" s="563"/>
      <c r="C339" s="599" t="s">
        <v>603</v>
      </c>
      <c r="D339" s="45"/>
      <c r="E339" s="98"/>
      <c r="F339" s="133"/>
      <c r="G339" s="100"/>
      <c r="H339" s="101"/>
      <c r="I339" s="44"/>
      <c r="J339" s="44"/>
      <c r="K339" s="225"/>
      <c r="L339" s="134"/>
      <c r="M339" s="152"/>
      <c r="N339" s="153"/>
      <c r="O339" s="154"/>
      <c r="P339" s="92"/>
      <c r="Q339" s="155"/>
      <c r="R339" s="156"/>
      <c r="S339" s="166"/>
      <c r="T339" s="157"/>
      <c r="U339" s="158"/>
      <c r="V339" s="159"/>
      <c r="W339" s="160"/>
      <c r="X339" s="160"/>
      <c r="Y339" s="161"/>
      <c r="Z339" s="161"/>
      <c r="AA339" s="161"/>
      <c r="AB339" s="224"/>
      <c r="AC339" s="30"/>
      <c r="AD339" s="139"/>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row>
    <row r="340" spans="1:59" ht="12.75">
      <c r="A340" s="42">
        <v>162</v>
      </c>
      <c r="B340" s="563" t="s">
        <v>604</v>
      </c>
      <c r="C340" s="599" t="s">
        <v>605</v>
      </c>
      <c r="D340" s="45" t="s">
        <v>606</v>
      </c>
      <c r="E340" s="98" t="s">
        <v>607</v>
      </c>
      <c r="F340" s="133"/>
      <c r="G340" s="100"/>
      <c r="H340" s="101"/>
      <c r="I340" s="44" t="str">
        <f>R</f>
        <v>Réelle</v>
      </c>
      <c r="J340" s="44" t="s">
        <v>608</v>
      </c>
      <c r="K340" s="225" t="s">
        <v>609</v>
      </c>
      <c r="L340" s="134"/>
      <c r="M340" s="152" t="str">
        <f>"(9)"</f>
        <v>(9)</v>
      </c>
      <c r="N340" s="153"/>
      <c r="O340" s="154" t="str">
        <f>P</f>
        <v>. . .</v>
      </c>
      <c r="P340" s="92" t="s">
        <v>610</v>
      </c>
      <c r="Q340" s="92" t="str">
        <f>VI</f>
        <v>(25)</v>
      </c>
      <c r="R340" s="171" t="str">
        <f>VI</f>
        <v>(25)</v>
      </c>
      <c r="S340" s="154"/>
      <c r="W340" s="160" t="str">
        <f>t</f>
        <v>TVO</v>
      </c>
      <c r="X340" s="160"/>
      <c r="Y340" s="161">
        <v>4004</v>
      </c>
      <c r="Z340" s="161">
        <v>9348</v>
      </c>
      <c r="AA340" s="161"/>
      <c r="AB340" s="224"/>
      <c r="AC340" s="30"/>
      <c r="AD340" s="139"/>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row>
    <row r="341" spans="1:59" ht="12.75">
      <c r="A341" s="42">
        <v>163</v>
      </c>
      <c r="B341" s="563" t="s">
        <v>611</v>
      </c>
      <c r="C341" s="599" t="s">
        <v>612</v>
      </c>
      <c r="D341" s="45" t="s">
        <v>613</v>
      </c>
      <c r="E341" s="98" t="s">
        <v>614</v>
      </c>
      <c r="F341" s="133"/>
      <c r="G341" s="100"/>
      <c r="H341" s="101"/>
      <c r="I341" s="44" t="str">
        <f>R</f>
        <v>Réelle</v>
      </c>
      <c r="J341" s="44" t="str">
        <f>P</f>
        <v>. . .</v>
      </c>
      <c r="K341" s="225" t="s">
        <v>615</v>
      </c>
      <c r="L341" s="134"/>
      <c r="M341" s="152" t="s">
        <v>616</v>
      </c>
      <c r="N341" s="153"/>
      <c r="O341" s="154" t="str">
        <f>P</f>
        <v>. . .</v>
      </c>
      <c r="P341" s="92" t="s">
        <v>617</v>
      </c>
      <c r="Q341" s="92" t="str">
        <f>VI</f>
        <v>(25)</v>
      </c>
      <c r="R341" s="171" t="str">
        <f>VI</f>
        <v>(25)</v>
      </c>
      <c r="S341" s="166"/>
      <c r="W341" s="160" t="str">
        <f>t</f>
        <v>TVO</v>
      </c>
      <c r="X341" s="160"/>
      <c r="Y341" s="161"/>
      <c r="Z341" s="161"/>
      <c r="AA341" s="161"/>
      <c r="AB341" s="224"/>
      <c r="AC341" s="30"/>
      <c r="AD341" s="139"/>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row>
    <row r="342" spans="1:59" ht="12.75">
      <c r="A342" s="42"/>
      <c r="B342" s="563"/>
      <c r="C342" s="599" t="s">
        <v>618</v>
      </c>
      <c r="D342" s="45"/>
      <c r="E342" s="98"/>
      <c r="F342" s="133"/>
      <c r="G342" s="100"/>
      <c r="H342" s="101"/>
      <c r="I342" s="44"/>
      <c r="J342" s="44"/>
      <c r="K342" s="225"/>
      <c r="L342" s="134"/>
      <c r="M342" s="152"/>
      <c r="N342" s="153"/>
      <c r="O342" s="154"/>
      <c r="P342" s="92"/>
      <c r="Q342" s="155"/>
      <c r="R342" s="156"/>
      <c r="S342" s="166"/>
      <c r="W342" s="57"/>
      <c r="X342" s="57"/>
      <c r="Y342" s="58"/>
      <c r="Z342" s="58"/>
      <c r="AA342" s="161"/>
      <c r="AB342" s="224"/>
      <c r="AC342" s="30"/>
      <c r="AD342" s="139"/>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row>
    <row r="343" spans="1:59" ht="12.75">
      <c r="A343" s="42"/>
      <c r="B343" s="563"/>
      <c r="C343" s="599" t="s">
        <v>619</v>
      </c>
      <c r="D343" s="45"/>
      <c r="E343" s="98"/>
      <c r="F343" s="133"/>
      <c r="G343" s="100"/>
      <c r="H343" s="101"/>
      <c r="I343" s="44"/>
      <c r="J343" s="44"/>
      <c r="K343" s="225"/>
      <c r="L343" s="134"/>
      <c r="M343" s="152"/>
      <c r="N343" s="153"/>
      <c r="O343" s="154"/>
      <c r="P343" s="92"/>
      <c r="Q343" s="155"/>
      <c r="R343" s="156"/>
      <c r="S343" s="166"/>
      <c r="W343" s="57"/>
      <c r="X343" s="57"/>
      <c r="Y343" s="58"/>
      <c r="Z343" s="58"/>
      <c r="AA343" s="161"/>
      <c r="AB343" s="224"/>
      <c r="AC343" s="30"/>
      <c r="AD343" s="139"/>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row>
    <row r="344" spans="1:59" ht="12.75">
      <c r="A344" s="42">
        <v>164</v>
      </c>
      <c r="B344" s="563" t="s">
        <v>620</v>
      </c>
      <c r="C344" s="599" t="s">
        <v>621</v>
      </c>
      <c r="D344" s="45" t="s">
        <v>622</v>
      </c>
      <c r="E344" s="98" t="s">
        <v>623</v>
      </c>
      <c r="F344" s="133"/>
      <c r="G344" s="100"/>
      <c r="H344" s="101"/>
      <c r="I344" s="44" t="str">
        <f>R</f>
        <v>Réelle</v>
      </c>
      <c r="J344" s="44" t="s">
        <v>624</v>
      </c>
      <c r="K344" s="225" t="s">
        <v>625</v>
      </c>
      <c r="L344" s="134"/>
      <c r="M344" s="152" t="str">
        <f>"(9)"</f>
        <v>(9)</v>
      </c>
      <c r="N344" s="153"/>
      <c r="O344" s="154" t="str">
        <f>P</f>
        <v>. . .</v>
      </c>
      <c r="P344" s="92" t="s">
        <v>626</v>
      </c>
      <c r="Q344" s="92" t="str">
        <f>VI</f>
        <v>(25)</v>
      </c>
      <c r="R344" s="171" t="str">
        <f>VI</f>
        <v>(25)</v>
      </c>
      <c r="S344" s="166"/>
      <c r="W344" s="160" t="str">
        <f>t</f>
        <v>TVO</v>
      </c>
      <c r="X344" s="160"/>
      <c r="Y344" s="161">
        <v>4004</v>
      </c>
      <c r="Z344" s="161">
        <v>9348</v>
      </c>
      <c r="AA344" s="161"/>
      <c r="AB344" s="224"/>
      <c r="AC344" s="30"/>
      <c r="AD344" s="139"/>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row>
    <row r="345" spans="1:92" s="512" customFormat="1" ht="12.75">
      <c r="A345" s="197">
        <v>165</v>
      </c>
      <c r="B345" s="572" t="s">
        <v>627</v>
      </c>
      <c r="C345" s="594" t="s">
        <v>628</v>
      </c>
      <c r="D345" s="200" t="s">
        <v>629</v>
      </c>
      <c r="E345" s="201" t="s">
        <v>630</v>
      </c>
      <c r="F345" s="202"/>
      <c r="G345" s="203"/>
      <c r="H345" s="204"/>
      <c r="I345" s="205" t="str">
        <f>R</f>
        <v>Réelle</v>
      </c>
      <c r="J345" s="205" t="str">
        <f>P</f>
        <v>. . .</v>
      </c>
      <c r="K345" s="595" t="s">
        <v>631</v>
      </c>
      <c r="L345" s="206"/>
      <c r="M345" s="207" t="s">
        <v>632</v>
      </c>
      <c r="N345" s="208"/>
      <c r="O345" s="209" t="str">
        <f>P</f>
        <v>. . .</v>
      </c>
      <c r="P345" s="210" t="s">
        <v>633</v>
      </c>
      <c r="Q345" s="210" t="str">
        <f>VI</f>
        <v>(25)</v>
      </c>
      <c r="R345" s="211" t="str">
        <f>VI</f>
        <v>(25)</v>
      </c>
      <c r="S345" s="555"/>
      <c r="T345" s="501"/>
      <c r="U345" s="502"/>
      <c r="V345" s="503"/>
      <c r="W345" s="596" t="str">
        <f>t</f>
        <v>TVO</v>
      </c>
      <c r="X345" s="596"/>
      <c r="Y345" s="505"/>
      <c r="Z345" s="505"/>
      <c r="AA345" s="583"/>
      <c r="AB345" s="597"/>
      <c r="AC345" s="508"/>
      <c r="AD345" s="598"/>
      <c r="AE345" s="500"/>
      <c r="AF345" s="500"/>
      <c r="AG345" s="500"/>
      <c r="AH345" s="500"/>
      <c r="AI345" s="500"/>
      <c r="AJ345" s="500"/>
      <c r="AK345" s="500"/>
      <c r="AL345" s="500"/>
      <c r="AM345" s="500"/>
      <c r="AN345" s="500"/>
      <c r="AO345" s="500"/>
      <c r="AP345" s="500"/>
      <c r="AQ345" s="500"/>
      <c r="AR345" s="500"/>
      <c r="AS345" s="500"/>
      <c r="AT345" s="500"/>
      <c r="AU345" s="500"/>
      <c r="AV345" s="500"/>
      <c r="AW345" s="500"/>
      <c r="AX345" s="500"/>
      <c r="AY345" s="500"/>
      <c r="AZ345" s="500"/>
      <c r="BA345" s="500"/>
      <c r="BB345" s="500"/>
      <c r="BC345" s="500"/>
      <c r="BD345" s="500"/>
      <c r="BE345" s="500"/>
      <c r="BF345" s="500"/>
      <c r="BG345" s="500"/>
      <c r="BH345" s="511"/>
      <c r="BI345" s="511"/>
      <c r="BJ345" s="511"/>
      <c r="BK345" s="511"/>
      <c r="BL345" s="511"/>
      <c r="BM345" s="511"/>
      <c r="BN345" s="511"/>
      <c r="BO345" s="511"/>
      <c r="BP345" s="511"/>
      <c r="BQ345" s="511"/>
      <c r="BR345" s="511"/>
      <c r="BS345" s="511"/>
      <c r="BT345" s="511"/>
      <c r="BU345" s="511"/>
      <c r="BV345" s="511"/>
      <c r="BW345" s="511"/>
      <c r="BX345" s="511"/>
      <c r="BY345" s="511"/>
      <c r="BZ345" s="511"/>
      <c r="CA345" s="511"/>
      <c r="CB345" s="511"/>
      <c r="CC345" s="511"/>
      <c r="CD345" s="511"/>
      <c r="CE345" s="511"/>
      <c r="CF345" s="511"/>
      <c r="CG345" s="511"/>
      <c r="CH345" s="511"/>
      <c r="CI345" s="511"/>
      <c r="CJ345" s="511"/>
      <c r="CK345" s="511"/>
      <c r="CL345" s="511"/>
      <c r="CM345" s="511"/>
      <c r="CN345" s="511"/>
    </row>
    <row r="346" spans="1:59" ht="12.75">
      <c r="A346" s="42"/>
      <c r="B346" s="563"/>
      <c r="C346" s="592" t="s">
        <v>634</v>
      </c>
      <c r="D346" s="45"/>
      <c r="E346" s="98"/>
      <c r="F346" s="133"/>
      <c r="G346" s="100"/>
      <c r="H346" s="101"/>
      <c r="I346" s="44"/>
      <c r="J346" s="44"/>
      <c r="K346" s="225"/>
      <c r="L346" s="134"/>
      <c r="M346" s="152"/>
      <c r="N346" s="153"/>
      <c r="O346" s="154"/>
      <c r="P346" s="92"/>
      <c r="Q346" s="155"/>
      <c r="R346" s="156"/>
      <c r="S346" s="166"/>
      <c r="W346" s="57"/>
      <c r="X346" s="57"/>
      <c r="Y346" s="58"/>
      <c r="Z346" s="58"/>
      <c r="AA346" s="58"/>
      <c r="AB346" s="224"/>
      <c r="AC346" s="30"/>
      <c r="AD346" s="139"/>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row>
    <row r="347" spans="1:59" ht="12.75">
      <c r="A347" s="42">
        <v>166</v>
      </c>
      <c r="B347" s="563" t="s">
        <v>635</v>
      </c>
      <c r="C347" s="599" t="s">
        <v>636</v>
      </c>
      <c r="D347" s="45" t="s">
        <v>637</v>
      </c>
      <c r="E347" s="98" t="s">
        <v>638</v>
      </c>
      <c r="F347" s="133"/>
      <c r="G347" s="100"/>
      <c r="H347" s="101"/>
      <c r="I347" s="44" t="str">
        <f>R</f>
        <v>Réelle</v>
      </c>
      <c r="J347" s="44" t="s">
        <v>639</v>
      </c>
      <c r="K347" s="225" t="s">
        <v>640</v>
      </c>
      <c r="L347" s="134"/>
      <c r="M347" s="152" t="str">
        <f>"(9)"</f>
        <v>(9)</v>
      </c>
      <c r="N347" s="153"/>
      <c r="O347" s="154" t="str">
        <f>P</f>
        <v>. . .</v>
      </c>
      <c r="P347" s="92" t="s">
        <v>641</v>
      </c>
      <c r="Q347" s="92" t="str">
        <f>VI</f>
        <v>(25)</v>
      </c>
      <c r="R347" s="171" t="str">
        <f>VI</f>
        <v>(25)</v>
      </c>
      <c r="S347" s="154"/>
      <c r="W347" s="160" t="str">
        <f>t</f>
        <v>TVO</v>
      </c>
      <c r="X347" s="160"/>
      <c r="Y347" s="161">
        <v>4004</v>
      </c>
      <c r="Z347" s="161">
        <v>9348</v>
      </c>
      <c r="AA347" s="161">
        <v>9301</v>
      </c>
      <c r="AB347" s="224"/>
      <c r="AC347" s="30"/>
      <c r="AD347" s="139"/>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row>
    <row r="348" spans="1:59" ht="12.75">
      <c r="A348" s="42">
        <v>167</v>
      </c>
      <c r="B348" s="563" t="s">
        <v>642</v>
      </c>
      <c r="C348" s="599" t="s">
        <v>643</v>
      </c>
      <c r="D348" s="45" t="s">
        <v>644</v>
      </c>
      <c r="E348" s="98" t="s">
        <v>645</v>
      </c>
      <c r="F348" s="133"/>
      <c r="G348" s="100"/>
      <c r="H348" s="101"/>
      <c r="I348" s="44" t="str">
        <f>R</f>
        <v>Réelle</v>
      </c>
      <c r="J348" s="44" t="str">
        <f>P</f>
        <v>. . .</v>
      </c>
      <c r="K348" s="225" t="s">
        <v>646</v>
      </c>
      <c r="L348" s="134"/>
      <c r="M348" s="152" t="s">
        <v>647</v>
      </c>
      <c r="N348" s="153"/>
      <c r="O348" s="154" t="str">
        <f>P</f>
        <v>. . .</v>
      </c>
      <c r="P348" s="92" t="s">
        <v>648</v>
      </c>
      <c r="Q348" s="92" t="str">
        <f>VI</f>
        <v>(25)</v>
      </c>
      <c r="R348" s="171" t="str">
        <f>VI</f>
        <v>(25)</v>
      </c>
      <c r="S348" s="154"/>
      <c r="W348" s="160" t="str">
        <f>t</f>
        <v>TVO</v>
      </c>
      <c r="X348" s="160"/>
      <c r="Y348" s="161">
        <v>9301</v>
      </c>
      <c r="Z348" s="161"/>
      <c r="AA348" s="161"/>
      <c r="AB348" s="224"/>
      <c r="AC348" s="30"/>
      <c r="AD348" s="139"/>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row>
    <row r="349" spans="1:59" ht="12.75">
      <c r="A349" s="42"/>
      <c r="B349" s="563"/>
      <c r="C349" s="592" t="s">
        <v>649</v>
      </c>
      <c r="D349" s="45"/>
      <c r="E349" s="98"/>
      <c r="F349" s="133"/>
      <c r="G349" s="100"/>
      <c r="H349" s="101"/>
      <c r="I349" s="44"/>
      <c r="J349" s="44"/>
      <c r="K349" s="225"/>
      <c r="L349" s="134"/>
      <c r="M349" s="152"/>
      <c r="N349" s="153"/>
      <c r="O349" s="154"/>
      <c r="P349" s="92"/>
      <c r="Q349" s="155"/>
      <c r="R349" s="156"/>
      <c r="S349" s="166"/>
      <c r="T349" s="54"/>
      <c r="U349" s="55"/>
      <c r="V349" s="56"/>
      <c r="W349" s="57"/>
      <c r="X349" s="57"/>
      <c r="Y349" s="58"/>
      <c r="Z349" s="58"/>
      <c r="AA349" s="58"/>
      <c r="AB349" s="224"/>
      <c r="AC349" s="30"/>
      <c r="AD349" s="139"/>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row>
    <row r="350" spans="1:59" ht="12.75">
      <c r="A350" s="42">
        <v>168</v>
      </c>
      <c r="B350" s="563" t="s">
        <v>650</v>
      </c>
      <c r="C350" s="599" t="s">
        <v>651</v>
      </c>
      <c r="D350" s="45" t="s">
        <v>652</v>
      </c>
      <c r="E350" s="98" t="s">
        <v>653</v>
      </c>
      <c r="F350" s="133"/>
      <c r="G350" s="100"/>
      <c r="H350" s="101"/>
      <c r="I350" s="44" t="str">
        <f>R</f>
        <v>Réelle</v>
      </c>
      <c r="J350" s="44" t="s">
        <v>654</v>
      </c>
      <c r="K350" s="225" t="s">
        <v>655</v>
      </c>
      <c r="L350" s="134"/>
      <c r="M350" s="152" t="str">
        <f>"(9)"</f>
        <v>(9)</v>
      </c>
      <c r="N350" s="153"/>
      <c r="O350" s="154" t="str">
        <f>P</f>
        <v>. . .</v>
      </c>
      <c r="P350" s="92" t="s">
        <v>656</v>
      </c>
      <c r="Q350" s="92" t="str">
        <f>VI</f>
        <v>(25)</v>
      </c>
      <c r="R350" s="171" t="str">
        <f>VI</f>
        <v>(25)</v>
      </c>
      <c r="S350" s="166"/>
      <c r="W350" s="160" t="str">
        <f>t</f>
        <v>TVO</v>
      </c>
      <c r="X350" s="160"/>
      <c r="Y350" s="161">
        <v>4004</v>
      </c>
      <c r="Z350" s="161">
        <v>9348</v>
      </c>
      <c r="AA350" s="58"/>
      <c r="AB350" s="224"/>
      <c r="AC350" s="30"/>
      <c r="AD350" s="139"/>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row>
    <row r="351" spans="1:59" ht="12.75">
      <c r="A351" s="42">
        <v>169</v>
      </c>
      <c r="B351" s="563" t="s">
        <v>657</v>
      </c>
      <c r="C351" s="599" t="s">
        <v>658</v>
      </c>
      <c r="D351" s="45" t="s">
        <v>659</v>
      </c>
      <c r="E351" s="98" t="s">
        <v>660</v>
      </c>
      <c r="F351" s="133"/>
      <c r="G351" s="100"/>
      <c r="H351" s="101"/>
      <c r="I351" s="44" t="str">
        <f>R</f>
        <v>Réelle</v>
      </c>
      <c r="J351" s="44" t="str">
        <f>P</f>
        <v>. . .</v>
      </c>
      <c r="K351" s="225" t="s">
        <v>661</v>
      </c>
      <c r="L351" s="134"/>
      <c r="M351" s="152" t="s">
        <v>662</v>
      </c>
      <c r="N351" s="153"/>
      <c r="O351" s="154" t="str">
        <f>P</f>
        <v>. . .</v>
      </c>
      <c r="P351" s="92" t="s">
        <v>663</v>
      </c>
      <c r="Q351" s="92" t="str">
        <f>VI</f>
        <v>(25)</v>
      </c>
      <c r="R351" s="171" t="str">
        <f>VI</f>
        <v>(25)</v>
      </c>
      <c r="S351" s="154"/>
      <c r="W351" s="160" t="str">
        <f>t</f>
        <v>TVO</v>
      </c>
      <c r="X351" s="160"/>
      <c r="Y351" s="161"/>
      <c r="Z351" s="161"/>
      <c r="AA351" s="161"/>
      <c r="AB351" s="224"/>
      <c r="AC351" s="30"/>
      <c r="AD351" s="139"/>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row>
    <row r="352" spans="1:59" ht="12.75">
      <c r="A352" s="42"/>
      <c r="B352" s="563"/>
      <c r="C352" s="592" t="s">
        <v>664</v>
      </c>
      <c r="D352" s="45"/>
      <c r="E352" s="98"/>
      <c r="F352" s="133"/>
      <c r="G352" s="100"/>
      <c r="H352" s="101"/>
      <c r="I352" s="44"/>
      <c r="J352" s="44"/>
      <c r="K352" s="225"/>
      <c r="L352" s="134"/>
      <c r="M352" s="152"/>
      <c r="N352" s="153"/>
      <c r="O352" s="154"/>
      <c r="P352" s="92"/>
      <c r="Q352" s="155"/>
      <c r="R352" s="156"/>
      <c r="S352" s="154"/>
      <c r="W352" s="57"/>
      <c r="X352" s="57"/>
      <c r="Y352" s="58"/>
      <c r="Z352" s="58"/>
      <c r="AA352" s="58"/>
      <c r="AB352" s="224"/>
      <c r="AC352" s="30"/>
      <c r="AD352" s="139"/>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row>
    <row r="353" spans="1:59" ht="12.75">
      <c r="A353" s="42">
        <v>170</v>
      </c>
      <c r="B353" s="563" t="s">
        <v>665</v>
      </c>
      <c r="C353" s="599" t="s">
        <v>666</v>
      </c>
      <c r="D353" s="45" t="s">
        <v>667</v>
      </c>
      <c r="E353" s="98" t="s">
        <v>668</v>
      </c>
      <c r="F353" s="133"/>
      <c r="G353" s="100"/>
      <c r="H353" s="101"/>
      <c r="I353" s="44" t="str">
        <f>R</f>
        <v>Réelle</v>
      </c>
      <c r="J353" s="44" t="str">
        <f>P</f>
        <v>. . .</v>
      </c>
      <c r="K353" s="225" t="s">
        <v>669</v>
      </c>
      <c r="L353" s="134"/>
      <c r="M353" s="152" t="str">
        <f>"(9)"</f>
        <v>(9)</v>
      </c>
      <c r="N353" s="153"/>
      <c r="O353" s="154" t="str">
        <f>P</f>
        <v>. . .</v>
      </c>
      <c r="P353" s="92" t="s">
        <v>670</v>
      </c>
      <c r="Q353" s="92" t="str">
        <f aca="true" t="shared" si="8" ref="Q353:R355">VI</f>
        <v>(25)</v>
      </c>
      <c r="R353" s="171" t="str">
        <f t="shared" si="8"/>
        <v>(25)</v>
      </c>
      <c r="S353" s="166"/>
      <c r="W353" s="160" t="str">
        <f>t</f>
        <v>TVO</v>
      </c>
      <c r="X353" s="160"/>
      <c r="Y353" s="161">
        <v>4004</v>
      </c>
      <c r="Z353" s="161">
        <v>9348</v>
      </c>
      <c r="AA353" s="58">
        <v>9301</v>
      </c>
      <c r="AB353" s="224"/>
      <c r="AC353" s="30"/>
      <c r="AD353" s="139"/>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row>
    <row r="354" spans="1:59" ht="12.75">
      <c r="A354" s="42">
        <v>171</v>
      </c>
      <c r="B354" s="563" t="s">
        <v>671</v>
      </c>
      <c r="C354" s="599" t="s">
        <v>672</v>
      </c>
      <c r="D354" s="45" t="s">
        <v>673</v>
      </c>
      <c r="E354" s="98" t="s">
        <v>674</v>
      </c>
      <c r="F354" s="133"/>
      <c r="G354" s="100"/>
      <c r="H354" s="101"/>
      <c r="I354" s="44" t="str">
        <f>R</f>
        <v>Réelle</v>
      </c>
      <c r="J354" s="44" t="str">
        <f>P</f>
        <v>. . .</v>
      </c>
      <c r="K354" s="225" t="s">
        <v>675</v>
      </c>
      <c r="L354" s="134"/>
      <c r="M354" s="152" t="str">
        <f>"(9)"</f>
        <v>(9)</v>
      </c>
      <c r="N354" s="153"/>
      <c r="O354" s="154" t="str">
        <f>P</f>
        <v>. . .</v>
      </c>
      <c r="P354" s="92" t="s">
        <v>676</v>
      </c>
      <c r="Q354" s="92" t="str">
        <f t="shared" si="8"/>
        <v>(25)</v>
      </c>
      <c r="R354" s="171" t="str">
        <f t="shared" si="8"/>
        <v>(25)</v>
      </c>
      <c r="S354" s="154"/>
      <c r="W354" s="160" t="str">
        <f>t</f>
        <v>TVO</v>
      </c>
      <c r="X354" s="160"/>
      <c r="Y354" s="161">
        <v>4004</v>
      </c>
      <c r="Z354" s="161">
        <v>9348</v>
      </c>
      <c r="AA354" s="161">
        <v>9301</v>
      </c>
      <c r="AB354" s="224"/>
      <c r="AC354" s="30"/>
      <c r="AD354" s="139"/>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row>
    <row r="355" spans="1:59" ht="12.75">
      <c r="A355" s="42">
        <v>172</v>
      </c>
      <c r="B355" s="563" t="s">
        <v>677</v>
      </c>
      <c r="C355" s="599" t="s">
        <v>678</v>
      </c>
      <c r="D355" s="45" t="s">
        <v>679</v>
      </c>
      <c r="E355" s="98" t="s">
        <v>680</v>
      </c>
      <c r="F355" s="133"/>
      <c r="G355" s="100"/>
      <c r="H355" s="101"/>
      <c r="I355" s="44" t="str">
        <f>R</f>
        <v>Réelle</v>
      </c>
      <c r="J355" s="44" t="str">
        <f>P</f>
        <v>. . .</v>
      </c>
      <c r="K355" s="225" t="s">
        <v>681</v>
      </c>
      <c r="L355" s="134"/>
      <c r="M355" s="152" t="str">
        <f>"(9)"</f>
        <v>(9)</v>
      </c>
      <c r="N355" s="153"/>
      <c r="O355" s="154" t="str">
        <f>P</f>
        <v>. . .</v>
      </c>
      <c r="P355" s="92" t="s">
        <v>682</v>
      </c>
      <c r="Q355" s="92" t="str">
        <f t="shared" si="8"/>
        <v>(25)</v>
      </c>
      <c r="R355" s="171" t="str">
        <f t="shared" si="8"/>
        <v>(25)</v>
      </c>
      <c r="S355" s="154"/>
      <c r="W355" s="160" t="str">
        <f>t</f>
        <v>TVO</v>
      </c>
      <c r="X355" s="160"/>
      <c r="Y355" s="161">
        <v>4004</v>
      </c>
      <c r="Z355" s="161">
        <v>9348</v>
      </c>
      <c r="AA355" s="58">
        <v>9301</v>
      </c>
      <c r="AB355" s="224"/>
      <c r="AC355" s="30"/>
      <c r="AD355" s="139"/>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row>
    <row r="356" spans="1:59" ht="12.75">
      <c r="A356" s="42"/>
      <c r="B356" s="563"/>
      <c r="C356" s="599"/>
      <c r="D356" s="45"/>
      <c r="E356" s="98"/>
      <c r="F356" s="133"/>
      <c r="G356" s="100"/>
      <c r="H356" s="101"/>
      <c r="I356" s="44"/>
      <c r="J356" s="44"/>
      <c r="K356" s="225"/>
      <c r="L356" s="134"/>
      <c r="M356" s="152"/>
      <c r="N356" s="153"/>
      <c r="O356" s="154"/>
      <c r="P356" s="92"/>
      <c r="Q356" s="92"/>
      <c r="R356" s="171"/>
      <c r="S356" s="166"/>
      <c r="W356" s="160"/>
      <c r="X356" s="160"/>
      <c r="Y356" s="161"/>
      <c r="Z356" s="161"/>
      <c r="AA356" s="58"/>
      <c r="AB356" s="224"/>
      <c r="AC356" s="30"/>
      <c r="AD356" s="139"/>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row>
    <row r="357" spans="1:92" s="542" customFormat="1" ht="12.75">
      <c r="A357" s="42"/>
      <c r="B357" s="563"/>
      <c r="C357" s="599" t="s">
        <v>683</v>
      </c>
      <c r="D357" s="45"/>
      <c r="E357" s="98"/>
      <c r="F357" s="133"/>
      <c r="G357" s="100"/>
      <c r="H357" s="101"/>
      <c r="I357" s="44"/>
      <c r="J357" s="44"/>
      <c r="K357" s="225"/>
      <c r="L357" s="134"/>
      <c r="M357" s="152"/>
      <c r="N357" s="153"/>
      <c r="O357" s="154"/>
      <c r="P357" s="92"/>
      <c r="Q357" s="155"/>
      <c r="R357" s="156"/>
      <c r="S357" s="154"/>
      <c r="T357" s="54"/>
      <c r="U357" s="55"/>
      <c r="V357" s="56"/>
      <c r="W357" s="57"/>
      <c r="X357" s="57"/>
      <c r="Y357" s="58"/>
      <c r="Z357" s="58"/>
      <c r="AA357" s="161"/>
      <c r="AB357" s="224"/>
      <c r="AC357" s="30"/>
      <c r="AD357" s="139"/>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row>
    <row r="358" spans="1:59" ht="12.75">
      <c r="A358" s="42">
        <v>173</v>
      </c>
      <c r="B358" s="563" t="s">
        <v>684</v>
      </c>
      <c r="C358" s="599" t="s">
        <v>685</v>
      </c>
      <c r="D358" s="45" t="s">
        <v>686</v>
      </c>
      <c r="E358" s="98" t="s">
        <v>687</v>
      </c>
      <c r="F358" s="133"/>
      <c r="G358" s="100"/>
      <c r="H358" s="101"/>
      <c r="I358" s="44" t="str">
        <f>R</f>
        <v>Réelle</v>
      </c>
      <c r="J358" s="44" t="s">
        <v>688</v>
      </c>
      <c r="K358" s="225" t="s">
        <v>689</v>
      </c>
      <c r="L358" s="134"/>
      <c r="M358" s="152" t="str">
        <f>"(9)"</f>
        <v>(9)</v>
      </c>
      <c r="N358" s="153"/>
      <c r="O358" s="154" t="str">
        <f>P</f>
        <v>. . .</v>
      </c>
      <c r="P358" s="92" t="s">
        <v>690</v>
      </c>
      <c r="Q358" s="92" t="str">
        <f>VI</f>
        <v>(25)</v>
      </c>
      <c r="R358" s="171" t="str">
        <f>VI</f>
        <v>(25)</v>
      </c>
      <c r="S358" s="154"/>
      <c r="W358" s="160" t="str">
        <f>t</f>
        <v>TVO</v>
      </c>
      <c r="X358" s="160"/>
      <c r="Y358" s="161">
        <v>4004</v>
      </c>
      <c r="Z358" s="161">
        <v>9348</v>
      </c>
      <c r="AA358" s="58">
        <v>9301</v>
      </c>
      <c r="AB358" s="224"/>
      <c r="AC358" s="30"/>
      <c r="AD358" s="139"/>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row>
    <row r="359" spans="1:59" ht="12.75">
      <c r="A359" s="42">
        <v>174</v>
      </c>
      <c r="B359" s="563" t="s">
        <v>691</v>
      </c>
      <c r="C359" s="599" t="s">
        <v>692</v>
      </c>
      <c r="D359" s="45" t="s">
        <v>693</v>
      </c>
      <c r="E359" s="98" t="s">
        <v>694</v>
      </c>
      <c r="F359" s="133"/>
      <c r="G359" s="100"/>
      <c r="H359" s="101"/>
      <c r="I359" s="44" t="str">
        <f>R</f>
        <v>Réelle</v>
      </c>
      <c r="J359" s="44" t="str">
        <f>P</f>
        <v>. . .</v>
      </c>
      <c r="K359" s="225" t="s">
        <v>695</v>
      </c>
      <c r="L359" s="134"/>
      <c r="M359" s="152" t="s">
        <v>696</v>
      </c>
      <c r="N359" s="153"/>
      <c r="O359" s="154" t="str">
        <f>P</f>
        <v>. . .</v>
      </c>
      <c r="P359" s="92" t="s">
        <v>697</v>
      </c>
      <c r="Q359" s="92" t="str">
        <f>VI</f>
        <v>(25)</v>
      </c>
      <c r="R359" s="171" t="str">
        <f>VI</f>
        <v>(25)</v>
      </c>
      <c r="S359" s="166"/>
      <c r="W359" s="160" t="str">
        <f>t</f>
        <v>TVO</v>
      </c>
      <c r="X359" s="160"/>
      <c r="Y359" s="161">
        <v>9301</v>
      </c>
      <c r="Z359" s="161"/>
      <c r="AA359" s="58"/>
      <c r="AB359" s="224"/>
      <c r="AC359" s="30"/>
      <c r="AD359" s="139"/>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row>
    <row r="360" spans="1:59" ht="12.75">
      <c r="A360" s="42"/>
      <c r="B360" s="563"/>
      <c r="C360" s="599"/>
      <c r="D360" s="45"/>
      <c r="E360" s="98"/>
      <c r="F360" s="133"/>
      <c r="G360" s="100"/>
      <c r="H360" s="101"/>
      <c r="I360" s="44"/>
      <c r="J360" s="44"/>
      <c r="K360" s="225"/>
      <c r="L360" s="134"/>
      <c r="M360" s="152"/>
      <c r="N360" s="153"/>
      <c r="O360" s="154"/>
      <c r="P360" s="92"/>
      <c r="Q360" s="155"/>
      <c r="R360" s="156"/>
      <c r="S360" s="154"/>
      <c r="T360" s="54"/>
      <c r="U360" s="55"/>
      <c r="V360" s="56"/>
      <c r="W360" s="57"/>
      <c r="X360" s="57"/>
      <c r="Y360" s="58"/>
      <c r="Z360" s="58"/>
      <c r="AA360" s="58"/>
      <c r="AB360" s="224"/>
      <c r="AC360" s="30"/>
      <c r="AD360" s="139"/>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row>
    <row r="361" spans="1:59" ht="12.75">
      <c r="A361" s="42"/>
      <c r="B361" s="563"/>
      <c r="C361" s="585"/>
      <c r="D361" s="45"/>
      <c r="E361" s="98"/>
      <c r="F361" s="133"/>
      <c r="G361" s="100"/>
      <c r="H361" s="101"/>
      <c r="I361" s="44"/>
      <c r="J361" s="44"/>
      <c r="K361" s="225"/>
      <c r="L361" s="134"/>
      <c r="M361" s="152"/>
      <c r="N361" s="153"/>
      <c r="O361" s="154"/>
      <c r="P361" s="92"/>
      <c r="Q361" s="155"/>
      <c r="R361" s="156"/>
      <c r="S361" s="154"/>
      <c r="T361" s="54"/>
      <c r="U361" s="55"/>
      <c r="V361" s="56"/>
      <c r="W361" s="57"/>
      <c r="X361" s="57"/>
      <c r="Y361" s="58"/>
      <c r="Z361" s="58"/>
      <c r="AA361" s="58"/>
      <c r="AB361" s="224"/>
      <c r="AC361" s="30"/>
      <c r="AD361" s="139"/>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row>
    <row r="362" spans="1:59" ht="12.75">
      <c r="A362" s="42"/>
      <c r="B362" s="600"/>
      <c r="C362" s="601" t="s">
        <v>698</v>
      </c>
      <c r="D362" s="45"/>
      <c r="E362" s="98"/>
      <c r="F362" s="133"/>
      <c r="G362" s="100"/>
      <c r="H362" s="101"/>
      <c r="I362" s="44"/>
      <c r="J362" s="44"/>
      <c r="K362" s="225"/>
      <c r="L362" s="134"/>
      <c r="M362" s="152"/>
      <c r="N362" s="153"/>
      <c r="O362" s="154"/>
      <c r="P362" s="92"/>
      <c r="Q362" s="155"/>
      <c r="R362" s="156"/>
      <c r="S362" s="154"/>
      <c r="T362" s="157"/>
      <c r="U362" s="158"/>
      <c r="V362" s="159"/>
      <c r="W362" s="160"/>
      <c r="X362" s="160"/>
      <c r="Y362" s="161"/>
      <c r="Z362" s="161"/>
      <c r="AA362" s="161"/>
      <c r="AB362" s="224"/>
      <c r="AC362" s="30"/>
      <c r="AD362" s="139"/>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row>
    <row r="363" spans="1:59" ht="12.75">
      <c r="A363" s="42"/>
      <c r="B363" s="563"/>
      <c r="C363" s="602" t="s">
        <v>699</v>
      </c>
      <c r="D363" s="45"/>
      <c r="E363" s="98"/>
      <c r="F363" s="133"/>
      <c r="G363" s="100"/>
      <c r="H363" s="101"/>
      <c r="I363" s="44"/>
      <c r="J363" s="44"/>
      <c r="K363" s="225"/>
      <c r="L363" s="134"/>
      <c r="M363" s="152"/>
      <c r="N363" s="153"/>
      <c r="O363" s="154"/>
      <c r="P363" s="92"/>
      <c r="Q363" s="155"/>
      <c r="R363" s="156"/>
      <c r="S363" s="154"/>
      <c r="T363" s="157"/>
      <c r="U363" s="158"/>
      <c r="V363" s="159"/>
      <c r="W363" s="160"/>
      <c r="X363" s="160"/>
      <c r="Y363" s="161"/>
      <c r="Z363" s="161"/>
      <c r="AA363" s="58"/>
      <c r="AB363" s="224"/>
      <c r="AC363" s="30"/>
      <c r="AD363" s="139"/>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row>
    <row r="364" spans="1:59" ht="12.75">
      <c r="A364" s="42"/>
      <c r="B364" s="563"/>
      <c r="C364" s="602" t="s">
        <v>700</v>
      </c>
      <c r="D364" s="45"/>
      <c r="E364" s="98"/>
      <c r="F364" s="133"/>
      <c r="G364" s="100"/>
      <c r="H364" s="101"/>
      <c r="I364" s="44"/>
      <c r="J364" s="44"/>
      <c r="K364" s="225"/>
      <c r="L364" s="134"/>
      <c r="M364" s="152"/>
      <c r="N364" s="153"/>
      <c r="O364" s="154"/>
      <c r="P364" s="92"/>
      <c r="Q364" s="155"/>
      <c r="R364" s="156"/>
      <c r="S364" s="166"/>
      <c r="T364" s="157"/>
      <c r="U364" s="158"/>
      <c r="V364" s="159"/>
      <c r="W364" s="160"/>
      <c r="X364" s="160"/>
      <c r="Y364" s="161"/>
      <c r="Z364" s="161"/>
      <c r="AA364" s="58"/>
      <c r="AB364" s="224"/>
      <c r="AC364" s="30"/>
      <c r="AD364" s="139"/>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row>
    <row r="365" spans="1:59" ht="12.75">
      <c r="A365" s="42"/>
      <c r="B365" s="563"/>
      <c r="C365" s="602" t="s">
        <v>701</v>
      </c>
      <c r="D365" s="45"/>
      <c r="E365" s="98"/>
      <c r="F365" s="133"/>
      <c r="G365" s="100"/>
      <c r="H365" s="101"/>
      <c r="I365" s="44"/>
      <c r="J365" s="44"/>
      <c r="K365" s="225"/>
      <c r="L365" s="134"/>
      <c r="M365" s="152"/>
      <c r="N365" s="153"/>
      <c r="O365" s="154"/>
      <c r="P365" s="92"/>
      <c r="Q365" s="155"/>
      <c r="R365" s="156"/>
      <c r="S365" s="154"/>
      <c r="T365" s="157"/>
      <c r="U365" s="158"/>
      <c r="V365" s="159"/>
      <c r="W365" s="160"/>
      <c r="X365" s="160"/>
      <c r="Y365" s="161"/>
      <c r="Z365" s="161"/>
      <c r="AA365" s="161"/>
      <c r="AB365" s="224"/>
      <c r="AC365" s="30"/>
      <c r="AD365" s="139"/>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row>
    <row r="366" spans="1:59" ht="12.75">
      <c r="A366" s="42"/>
      <c r="B366" s="563"/>
      <c r="C366" s="602" t="s">
        <v>702</v>
      </c>
      <c r="D366" s="45"/>
      <c r="E366" s="98"/>
      <c r="F366" s="133"/>
      <c r="G366" s="100"/>
      <c r="H366" s="101"/>
      <c r="I366" s="44"/>
      <c r="J366" s="44"/>
      <c r="K366" s="225"/>
      <c r="L366" s="134"/>
      <c r="M366" s="152"/>
      <c r="N366" s="153"/>
      <c r="O366" s="154"/>
      <c r="P366" s="92"/>
      <c r="Q366" s="155"/>
      <c r="R366" s="156"/>
      <c r="S366" s="154"/>
      <c r="T366" s="157"/>
      <c r="U366" s="158"/>
      <c r="V366" s="159"/>
      <c r="W366" s="160"/>
      <c r="X366" s="160"/>
      <c r="Y366" s="161"/>
      <c r="Z366" s="161"/>
      <c r="AA366" s="161"/>
      <c r="AB366" s="224"/>
      <c r="AC366" s="30"/>
      <c r="AD366" s="139"/>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row>
    <row r="367" spans="1:59" ht="12.75">
      <c r="A367" s="42"/>
      <c r="B367" s="563"/>
      <c r="C367" s="602" t="s">
        <v>703</v>
      </c>
      <c r="D367" s="45"/>
      <c r="E367" s="98"/>
      <c r="F367" s="133"/>
      <c r="G367" s="100"/>
      <c r="H367" s="101"/>
      <c r="I367" s="44"/>
      <c r="J367" s="44"/>
      <c r="K367" s="225"/>
      <c r="L367" s="134"/>
      <c r="M367" s="152"/>
      <c r="N367" s="153"/>
      <c r="O367" s="154"/>
      <c r="P367" s="92"/>
      <c r="Q367" s="155"/>
      <c r="R367" s="156"/>
      <c r="S367" s="166"/>
      <c r="T367" s="157"/>
      <c r="U367" s="158"/>
      <c r="V367" s="159"/>
      <c r="W367" s="160"/>
      <c r="X367" s="160"/>
      <c r="Y367" s="161"/>
      <c r="Z367" s="161"/>
      <c r="AA367" s="161"/>
      <c r="AB367" s="224"/>
      <c r="AC367" s="30"/>
      <c r="AD367" s="139"/>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row>
    <row r="368" spans="1:59" ht="12.75">
      <c r="A368" s="42"/>
      <c r="B368" s="563"/>
      <c r="C368" s="602" t="s">
        <v>704</v>
      </c>
      <c r="D368" s="45"/>
      <c r="E368" s="98"/>
      <c r="F368" s="133"/>
      <c r="G368" s="100"/>
      <c r="H368" s="101"/>
      <c r="I368" s="44"/>
      <c r="J368" s="44"/>
      <c r="K368" s="225"/>
      <c r="L368" s="134"/>
      <c r="M368" s="152"/>
      <c r="N368" s="153"/>
      <c r="O368" s="154"/>
      <c r="P368" s="92"/>
      <c r="Q368" s="155"/>
      <c r="R368" s="156"/>
      <c r="S368" s="166"/>
      <c r="T368" s="157"/>
      <c r="U368" s="158"/>
      <c r="V368" s="159"/>
      <c r="W368" s="160"/>
      <c r="X368" s="160"/>
      <c r="Y368" s="161"/>
      <c r="Z368" s="161"/>
      <c r="AA368" s="161"/>
      <c r="AB368" s="224"/>
      <c r="AC368" s="30"/>
      <c r="AD368" s="139"/>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row>
    <row r="369" spans="1:59" ht="12.75">
      <c r="A369" s="42"/>
      <c r="B369" s="563"/>
      <c r="C369" s="585" t="s">
        <v>705</v>
      </c>
      <c r="D369" s="45"/>
      <c r="E369" s="98"/>
      <c r="F369" s="133"/>
      <c r="G369" s="100"/>
      <c r="H369" s="101"/>
      <c r="I369" s="44"/>
      <c r="J369" s="44"/>
      <c r="K369" s="225"/>
      <c r="L369" s="134"/>
      <c r="M369" s="152"/>
      <c r="N369" s="153"/>
      <c r="O369" s="154"/>
      <c r="P369" s="92"/>
      <c r="Q369" s="155"/>
      <c r="R369" s="156"/>
      <c r="S369" s="166"/>
      <c r="T369" s="157"/>
      <c r="U369" s="158"/>
      <c r="V369" s="159"/>
      <c r="W369" s="160"/>
      <c r="X369" s="160"/>
      <c r="Y369" s="161"/>
      <c r="Z369" s="161"/>
      <c r="AA369" s="161"/>
      <c r="AB369" s="224"/>
      <c r="AC369" s="30"/>
      <c r="AD369" s="139"/>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row>
    <row r="370" spans="1:59" ht="12.75">
      <c r="A370" s="42">
        <v>175</v>
      </c>
      <c r="B370" s="565" t="s">
        <v>706</v>
      </c>
      <c r="C370" s="603" t="s">
        <v>707</v>
      </c>
      <c r="D370" s="236" t="s">
        <v>708</v>
      </c>
      <c r="E370" s="427"/>
      <c r="F370" s="238"/>
      <c r="G370" s="424"/>
      <c r="H370" s="425"/>
      <c r="I370" s="241"/>
      <c r="J370" s="241"/>
      <c r="K370" s="428"/>
      <c r="L370" s="242"/>
      <c r="M370" s="243"/>
      <c r="N370" s="244"/>
      <c r="O370" s="245"/>
      <c r="P370" s="269"/>
      <c r="Q370" s="247"/>
      <c r="R370" s="248"/>
      <c r="S370" s="166"/>
      <c r="T370" s="157"/>
      <c r="U370" s="158"/>
      <c r="V370" s="159"/>
      <c r="W370" s="160"/>
      <c r="X370" s="160"/>
      <c r="Y370" s="161"/>
      <c r="Z370" s="161"/>
      <c r="AA370" s="161"/>
      <c r="AB370" s="224"/>
      <c r="AC370" s="30"/>
      <c r="AD370" s="139"/>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row>
    <row r="371" spans="1:59" ht="12.75">
      <c r="A371" s="42"/>
      <c r="B371" s="23"/>
      <c r="C371" s="104" t="s">
        <v>709</v>
      </c>
      <c r="D371" s="44" t="str">
        <f>P</f>
        <v>. . .</v>
      </c>
      <c r="E371" s="430">
        <f>4.6%</f>
        <v>0.046</v>
      </c>
      <c r="F371" s="133"/>
      <c r="G371" s="100" t="str">
        <f>P</f>
        <v>. . .</v>
      </c>
      <c r="H371" s="101" t="str">
        <f>P</f>
        <v>. . .</v>
      </c>
      <c r="I371" s="44">
        <f>VFHL</f>
        <v>22.87</v>
      </c>
      <c r="J371" s="44" t="s">
        <v>710</v>
      </c>
      <c r="K371" s="586">
        <f>ROUND(I371*4.6%,2)</f>
        <v>1.05</v>
      </c>
      <c r="L371" s="134"/>
      <c r="M371" s="152" t="s">
        <v>711</v>
      </c>
      <c r="N371" s="153"/>
      <c r="O371" s="154" t="str">
        <f>P</f>
        <v>. . .</v>
      </c>
      <c r="P371" s="92" t="s">
        <v>712</v>
      </c>
      <c r="Q371" s="155">
        <f>TVALUBMETRO</f>
        <v>4.649120000000001</v>
      </c>
      <c r="R371" s="156">
        <f>TVALUBCORSE</f>
        <v>3.0836000000000006</v>
      </c>
      <c r="S371" s="166"/>
      <c r="V371" s="159"/>
      <c r="W371" s="167">
        <v>5900</v>
      </c>
      <c r="X371" s="167"/>
      <c r="Y371" s="161"/>
      <c r="Z371" s="161"/>
      <c r="AA371" s="161"/>
      <c r="AB371" s="224"/>
      <c r="AC371" s="30"/>
      <c r="AD371" s="139"/>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row>
    <row r="372" spans="1:59" ht="12.75">
      <c r="A372" s="42"/>
      <c r="B372" s="563"/>
      <c r="C372" s="604" t="s">
        <v>713</v>
      </c>
      <c r="D372" s="45"/>
      <c r="E372" s="98"/>
      <c r="F372" s="133"/>
      <c r="G372" s="100"/>
      <c r="H372" s="101"/>
      <c r="I372" s="44"/>
      <c r="J372" s="44"/>
      <c r="K372" s="225"/>
      <c r="L372" s="134"/>
      <c r="M372" s="152"/>
      <c r="N372" s="153"/>
      <c r="O372" s="154"/>
      <c r="P372" s="92"/>
      <c r="Q372" s="155"/>
      <c r="R372" s="248"/>
      <c r="S372" s="166"/>
      <c r="T372" s="252"/>
      <c r="U372" s="253"/>
      <c r="V372" s="254"/>
      <c r="W372" s="255"/>
      <c r="X372" s="255"/>
      <c r="Y372" s="256"/>
      <c r="Z372" s="256"/>
      <c r="AA372" s="161"/>
      <c r="AB372" s="224"/>
      <c r="AC372" s="30"/>
      <c r="AD372" s="139"/>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row>
    <row r="373" spans="1:59" ht="12.75">
      <c r="A373" s="234"/>
      <c r="B373" s="565"/>
      <c r="C373" s="604" t="s">
        <v>714</v>
      </c>
      <c r="D373" s="45"/>
      <c r="E373" s="98"/>
      <c r="F373" s="133"/>
      <c r="G373" s="100"/>
      <c r="H373" s="101"/>
      <c r="I373" s="44"/>
      <c r="J373" s="44"/>
      <c r="K373" s="225"/>
      <c r="L373" s="134"/>
      <c r="M373" s="152"/>
      <c r="N373" s="153"/>
      <c r="O373" s="154"/>
      <c r="P373" s="92"/>
      <c r="Q373" s="155"/>
      <c r="R373" s="248"/>
      <c r="S373" s="166"/>
      <c r="T373" s="157"/>
      <c r="U373" s="158"/>
      <c r="V373" s="159"/>
      <c r="W373" s="160"/>
      <c r="X373" s="160"/>
      <c r="Y373" s="161"/>
      <c r="Z373" s="161"/>
      <c r="AA373" s="161"/>
      <c r="AB373" s="224"/>
      <c r="AC373" s="30"/>
      <c r="AD373" s="139"/>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row>
    <row r="374" spans="1:59" ht="12.75">
      <c r="A374" s="42"/>
      <c r="B374" s="563"/>
      <c r="C374" s="604" t="s">
        <v>715</v>
      </c>
      <c r="D374" s="45"/>
      <c r="E374" s="98"/>
      <c r="F374" s="133"/>
      <c r="G374" s="100"/>
      <c r="H374" s="605"/>
      <c r="I374" s="44"/>
      <c r="J374" s="44"/>
      <c r="K374" s="225"/>
      <c r="L374" s="134"/>
      <c r="M374" s="152"/>
      <c r="N374" s="153"/>
      <c r="O374" s="154"/>
      <c r="P374" s="92"/>
      <c r="Q374" s="92"/>
      <c r="R374" s="171"/>
      <c r="S374" s="166"/>
      <c r="T374" s="252"/>
      <c r="U374" s="253"/>
      <c r="V374" s="254"/>
      <c r="W374" s="255"/>
      <c r="X374" s="255"/>
      <c r="Y374" s="256"/>
      <c r="Z374" s="256"/>
      <c r="AA374" s="161"/>
      <c r="AB374" s="224"/>
      <c r="AC374" s="30"/>
      <c r="AD374" s="139"/>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row>
    <row r="375" spans="1:59" ht="24" customHeight="1">
      <c r="A375" s="320">
        <v>176</v>
      </c>
      <c r="B375" s="321" t="s">
        <v>716</v>
      </c>
      <c r="C375" s="606" t="s">
        <v>717</v>
      </c>
      <c r="D375" s="45" t="s">
        <v>718</v>
      </c>
      <c r="E375" s="98">
        <v>0.065</v>
      </c>
      <c r="F375" s="133"/>
      <c r="G375" s="100" t="s">
        <v>719</v>
      </c>
      <c r="H375" s="605" t="s">
        <v>720</v>
      </c>
      <c r="I375" s="44" t="s">
        <v>721</v>
      </c>
      <c r="J375" s="44" t="str">
        <f>P</f>
        <v>. . .</v>
      </c>
      <c r="K375" s="225">
        <v>0.065</v>
      </c>
      <c r="L375" s="134"/>
      <c r="M375" s="152" t="s">
        <v>722</v>
      </c>
      <c r="N375" s="153"/>
      <c r="O375" s="537">
        <f>TGAP</f>
        <v>3.811</v>
      </c>
      <c r="P375" s="92" t="s">
        <v>723</v>
      </c>
      <c r="Q375" s="92" t="str">
        <f>VI</f>
        <v>(25)</v>
      </c>
      <c r="R375" s="171" t="str">
        <f>VI</f>
        <v>(25)</v>
      </c>
      <c r="S375" s="166"/>
      <c r="T375" s="252">
        <v>5703</v>
      </c>
      <c r="U375" s="253" t="s">
        <v>724</v>
      </c>
      <c r="W375" s="255" t="str">
        <f>t</f>
        <v>TVO</v>
      </c>
      <c r="X375" s="255"/>
      <c r="Y375" s="256">
        <v>9181</v>
      </c>
      <c r="Z375" s="256" t="s">
        <v>725</v>
      </c>
      <c r="AA375" s="256"/>
      <c r="AB375" s="224"/>
      <c r="AC375" s="30"/>
      <c r="AD375" s="139"/>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row>
    <row r="376" spans="1:92" s="622" customFormat="1" ht="12.75">
      <c r="A376" s="197">
        <v>177</v>
      </c>
      <c r="B376" s="607" t="s">
        <v>726</v>
      </c>
      <c r="C376" s="608" t="s">
        <v>727</v>
      </c>
      <c r="D376" s="200" t="s">
        <v>728</v>
      </c>
      <c r="E376" s="201">
        <v>0.065</v>
      </c>
      <c r="F376" s="202"/>
      <c r="G376" s="203" t="s">
        <v>729</v>
      </c>
      <c r="H376" s="609" t="s">
        <v>730</v>
      </c>
      <c r="I376" s="205" t="s">
        <v>731</v>
      </c>
      <c r="J376" s="205" t="str">
        <f>P</f>
        <v>. . .</v>
      </c>
      <c r="K376" s="595">
        <v>0.065</v>
      </c>
      <c r="L376" s="206"/>
      <c r="M376" s="610" t="s">
        <v>732</v>
      </c>
      <c r="N376" s="611"/>
      <c r="O376" s="612" t="str">
        <f>P</f>
        <v>. . .</v>
      </c>
      <c r="P376" s="210" t="s">
        <v>733</v>
      </c>
      <c r="Q376" s="210" t="str">
        <f>VI</f>
        <v>(25)</v>
      </c>
      <c r="R376" s="211" t="str">
        <f>VI</f>
        <v>(25)</v>
      </c>
      <c r="S376" s="613"/>
      <c r="T376" s="614"/>
      <c r="U376" s="615"/>
      <c r="V376" s="616"/>
      <c r="W376" s="617" t="str">
        <f>t</f>
        <v>TVO</v>
      </c>
      <c r="X376" s="617"/>
      <c r="Y376" s="582"/>
      <c r="Z376" s="582"/>
      <c r="AA376" s="505"/>
      <c r="AB376" s="597"/>
      <c r="AC376" s="618"/>
      <c r="AD376" s="619"/>
      <c r="AE376" s="620"/>
      <c r="AF376" s="620"/>
      <c r="AG376" s="620"/>
      <c r="AH376" s="500"/>
      <c r="AI376" s="500"/>
      <c r="AJ376" s="500"/>
      <c r="AK376" s="500"/>
      <c r="AL376" s="500"/>
      <c r="AM376" s="500"/>
      <c r="AN376" s="500"/>
      <c r="AO376" s="500"/>
      <c r="AP376" s="500"/>
      <c r="AQ376" s="500"/>
      <c r="AR376" s="500"/>
      <c r="AS376" s="500"/>
      <c r="AT376" s="500"/>
      <c r="AU376" s="500"/>
      <c r="AV376" s="500"/>
      <c r="AW376" s="500"/>
      <c r="AX376" s="500"/>
      <c r="AY376" s="500"/>
      <c r="AZ376" s="500"/>
      <c r="BA376" s="500"/>
      <c r="BB376" s="500"/>
      <c r="BC376" s="500"/>
      <c r="BD376" s="500"/>
      <c r="BE376" s="500"/>
      <c r="BF376" s="500"/>
      <c r="BG376" s="500"/>
      <c r="BH376" s="621"/>
      <c r="BI376" s="621"/>
      <c r="BJ376" s="621"/>
      <c r="BK376" s="621"/>
      <c r="BL376" s="621"/>
      <c r="BM376" s="621"/>
      <c r="BN376" s="621"/>
      <c r="BO376" s="621"/>
      <c r="BP376" s="621"/>
      <c r="BQ376" s="621"/>
      <c r="BR376" s="621"/>
      <c r="BS376" s="621"/>
      <c r="BT376" s="621"/>
      <c r="BU376" s="621"/>
      <c r="BV376" s="621"/>
      <c r="BW376" s="621"/>
      <c r="BX376" s="621"/>
      <c r="BY376" s="621"/>
      <c r="BZ376" s="621"/>
      <c r="CA376" s="621"/>
      <c r="CB376" s="621"/>
      <c r="CC376" s="621"/>
      <c r="CD376" s="621"/>
      <c r="CE376" s="621"/>
      <c r="CF376" s="621"/>
      <c r="CG376" s="621"/>
      <c r="CH376" s="621"/>
      <c r="CI376" s="621"/>
      <c r="CJ376" s="621"/>
      <c r="CK376" s="621"/>
      <c r="CL376" s="621"/>
      <c r="CM376" s="621"/>
      <c r="CN376" s="621"/>
    </row>
    <row r="377" spans="1:59" ht="12.75">
      <c r="A377" s="42"/>
      <c r="B377" s="563"/>
      <c r="C377" s="604" t="s">
        <v>734</v>
      </c>
      <c r="D377" s="45"/>
      <c r="E377" s="98"/>
      <c r="F377" s="133"/>
      <c r="G377" s="100"/>
      <c r="H377" s="101"/>
      <c r="I377" s="44"/>
      <c r="J377" s="44"/>
      <c r="K377" s="225"/>
      <c r="L377" s="134"/>
      <c r="M377" s="152"/>
      <c r="N377" s="153"/>
      <c r="O377" s="537"/>
      <c r="P377" s="92"/>
      <c r="Q377" s="155"/>
      <c r="R377" s="248"/>
      <c r="S377" s="235"/>
      <c r="T377" s="252"/>
      <c r="U377" s="253"/>
      <c r="V377" s="254"/>
      <c r="W377" s="255"/>
      <c r="X377" s="255"/>
      <c r="Y377" s="256"/>
      <c r="Z377" s="256"/>
      <c r="AA377" s="256"/>
      <c r="AB377" s="224"/>
      <c r="AC377" s="30"/>
      <c r="AD377" s="184"/>
      <c r="AE377" s="148"/>
      <c r="AF377" s="148"/>
      <c r="AG377" s="148"/>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row>
    <row r="378" spans="1:59" ht="12.75">
      <c r="A378" s="42"/>
      <c r="C378" s="623" t="s">
        <v>735</v>
      </c>
      <c r="D378" s="45"/>
      <c r="E378" s="430"/>
      <c r="F378" s="133"/>
      <c r="G378" s="100"/>
      <c r="H378" s="605"/>
      <c r="I378" s="44"/>
      <c r="J378" s="44"/>
      <c r="K378" s="586"/>
      <c r="L378" s="134"/>
      <c r="M378" s="152"/>
      <c r="N378" s="153"/>
      <c r="O378" s="537"/>
      <c r="P378" s="92"/>
      <c r="Q378" s="155"/>
      <c r="R378" s="156"/>
      <c r="S378" s="166"/>
      <c r="T378" s="54"/>
      <c r="U378" s="55"/>
      <c r="V378" s="56"/>
      <c r="W378" s="57"/>
      <c r="X378" s="57"/>
      <c r="Y378" s="58"/>
      <c r="Z378" s="58"/>
      <c r="AA378" s="256"/>
      <c r="AB378" s="224"/>
      <c r="AC378" s="30"/>
      <c r="AD378" s="184"/>
      <c r="AE378" s="148"/>
      <c r="AF378" s="148"/>
      <c r="AG378" s="148"/>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row>
    <row r="379" spans="1:92" s="624" customFormat="1" ht="24" customHeight="1">
      <c r="A379" s="320">
        <v>178</v>
      </c>
      <c r="B379" s="321" t="s">
        <v>736</v>
      </c>
      <c r="C379" s="606" t="s">
        <v>737</v>
      </c>
      <c r="D379" s="45" t="s">
        <v>738</v>
      </c>
      <c r="E379" s="98">
        <f>4.6%</f>
        <v>0.046</v>
      </c>
      <c r="F379" s="133"/>
      <c r="G379" s="100" t="s">
        <v>739</v>
      </c>
      <c r="H379" s="605" t="s">
        <v>740</v>
      </c>
      <c r="I379" s="44">
        <f>VFHL</f>
        <v>22.87</v>
      </c>
      <c r="J379" s="44" t="s">
        <v>741</v>
      </c>
      <c r="K379" s="588">
        <f>ROUND(I379*4.6%,2)</f>
        <v>1.05</v>
      </c>
      <c r="L379" s="134"/>
      <c r="M379" s="152" t="s">
        <v>742</v>
      </c>
      <c r="N379" s="153"/>
      <c r="O379" s="537">
        <f>TGAP</f>
        <v>3.811</v>
      </c>
      <c r="P379" s="92" t="s">
        <v>743</v>
      </c>
      <c r="Q379" s="155">
        <f>TVATGAPLUBMETRO</f>
        <v>5.396076000000001</v>
      </c>
      <c r="R379" s="156">
        <f>TVATGAPLUBCORSE</f>
        <v>3.5790300000000004</v>
      </c>
      <c r="S379" s="235"/>
      <c r="T379" s="54">
        <v>5703</v>
      </c>
      <c r="U379" s="253" t="s">
        <v>744</v>
      </c>
      <c r="V379" s="9"/>
      <c r="W379" s="258">
        <v>5942</v>
      </c>
      <c r="X379" s="258"/>
      <c r="Y379" s="58">
        <v>9181</v>
      </c>
      <c r="Z379" s="28" t="s">
        <v>745</v>
      </c>
      <c r="AA379" s="256"/>
      <c r="AB379" s="224"/>
      <c r="AC379" s="30"/>
      <c r="AD379" s="184"/>
      <c r="AE379" s="148"/>
      <c r="AF379" s="148"/>
      <c r="AG379" s="148"/>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row>
    <row r="380" spans="1:92" s="542" customFormat="1" ht="12.75">
      <c r="A380" s="194">
        <v>179</v>
      </c>
      <c r="B380" s="625" t="s">
        <v>746</v>
      </c>
      <c r="C380" s="604" t="s">
        <v>747</v>
      </c>
      <c r="D380" s="45" t="s">
        <v>748</v>
      </c>
      <c r="E380" s="98">
        <f>4.6%</f>
        <v>0.046</v>
      </c>
      <c r="F380" s="133"/>
      <c r="G380" s="100" t="s">
        <v>749</v>
      </c>
      <c r="H380" s="605" t="s">
        <v>750</v>
      </c>
      <c r="I380" s="44">
        <f>VFHL</f>
        <v>22.87</v>
      </c>
      <c r="J380" s="44" t="s">
        <v>751</v>
      </c>
      <c r="K380" s="588">
        <f>ROUND(I380*4.6%,2)</f>
        <v>1.05</v>
      </c>
      <c r="L380" s="134"/>
      <c r="M380" s="626" t="s">
        <v>752</v>
      </c>
      <c r="N380" s="627"/>
      <c r="O380" s="628" t="str">
        <f>P</f>
        <v>. . .</v>
      </c>
      <c r="P380" s="92" t="s">
        <v>753</v>
      </c>
      <c r="Q380" s="629">
        <f>TVALUBMETRO</f>
        <v>4.649120000000001</v>
      </c>
      <c r="R380" s="630">
        <f>TVALUBCORSE</f>
        <v>3.0836000000000006</v>
      </c>
      <c r="S380" s="235"/>
      <c r="T380" s="631"/>
      <c r="U380" s="632"/>
      <c r="V380" s="56"/>
      <c r="W380" s="258">
        <v>5900</v>
      </c>
      <c r="X380" s="258"/>
      <c r="Y380" s="58"/>
      <c r="Z380" s="58"/>
      <c r="AA380" s="256"/>
      <c r="AB380" s="224"/>
      <c r="AC380" s="633"/>
      <c r="AD380" s="184"/>
      <c r="AE380" s="148"/>
      <c r="AF380" s="148"/>
      <c r="AG380" s="148"/>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634"/>
      <c r="BI380" s="634"/>
      <c r="BJ380" s="634"/>
      <c r="BK380" s="634"/>
      <c r="BL380" s="634"/>
      <c r="BM380" s="634"/>
      <c r="BN380" s="634"/>
      <c r="BO380" s="634"/>
      <c r="BP380" s="634"/>
      <c r="BQ380" s="634"/>
      <c r="BR380" s="634"/>
      <c r="BS380" s="634"/>
      <c r="BT380" s="634"/>
      <c r="BU380" s="634"/>
      <c r="BV380" s="634"/>
      <c r="BW380" s="634"/>
      <c r="BX380" s="634"/>
      <c r="BY380" s="634"/>
      <c r="BZ380" s="634"/>
      <c r="CA380" s="634"/>
      <c r="CB380" s="634"/>
      <c r="CC380" s="634"/>
      <c r="CD380" s="634"/>
      <c r="CE380" s="634"/>
      <c r="CF380" s="634"/>
      <c r="CG380" s="634"/>
      <c r="CH380" s="634"/>
      <c r="CI380" s="634"/>
      <c r="CJ380" s="634"/>
      <c r="CK380" s="634"/>
      <c r="CL380" s="634"/>
      <c r="CM380" s="634"/>
      <c r="CN380" s="634"/>
    </row>
    <row r="381" spans="1:59" ht="12.75">
      <c r="A381" s="42"/>
      <c r="B381" s="600"/>
      <c r="C381" s="623" t="s">
        <v>754</v>
      </c>
      <c r="D381" s="45"/>
      <c r="E381" s="430"/>
      <c r="F381" s="133"/>
      <c r="G381" s="100"/>
      <c r="H381" s="605"/>
      <c r="I381" s="44"/>
      <c r="J381" s="44"/>
      <c r="K381" s="586"/>
      <c r="L381" s="134"/>
      <c r="M381" s="152"/>
      <c r="N381" s="153"/>
      <c r="O381" s="154"/>
      <c r="P381" s="92"/>
      <c r="Q381" s="155"/>
      <c r="R381" s="156"/>
      <c r="S381" s="235"/>
      <c r="T381" s="252"/>
      <c r="U381" s="253"/>
      <c r="V381" s="254"/>
      <c r="W381" s="255"/>
      <c r="X381" s="255"/>
      <c r="Y381" s="256"/>
      <c r="Z381" s="256"/>
      <c r="AA381" s="58"/>
      <c r="AB381" s="224"/>
      <c r="AC381" s="30"/>
      <c r="AD381" s="184"/>
      <c r="AE381" s="148"/>
      <c r="AF381" s="148"/>
      <c r="AG381" s="148"/>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row>
    <row r="382" spans="1:59" ht="24" customHeight="1">
      <c r="A382" s="320">
        <v>180</v>
      </c>
      <c r="B382" s="321" t="s">
        <v>755</v>
      </c>
      <c r="C382" s="606" t="s">
        <v>756</v>
      </c>
      <c r="D382" s="45" t="s">
        <v>757</v>
      </c>
      <c r="E382" s="430">
        <f>4.6%</f>
        <v>0.046</v>
      </c>
      <c r="F382" s="133"/>
      <c r="G382" s="100" t="s">
        <v>758</v>
      </c>
      <c r="H382" s="605" t="s">
        <v>759</v>
      </c>
      <c r="I382" s="44">
        <f>VFHL</f>
        <v>22.87</v>
      </c>
      <c r="J382" s="44" t="s">
        <v>760</v>
      </c>
      <c r="K382" s="586">
        <f>ROUND(I382*4.6%,2)</f>
        <v>1.05</v>
      </c>
      <c r="L382" s="134"/>
      <c r="M382" s="152" t="s">
        <v>761</v>
      </c>
      <c r="N382" s="153"/>
      <c r="O382" s="537">
        <f>TGAP</f>
        <v>3.811</v>
      </c>
      <c r="P382" s="92" t="s">
        <v>762</v>
      </c>
      <c r="Q382" s="155">
        <f>TVATGAPLUBMETRO</f>
        <v>5.396076000000001</v>
      </c>
      <c r="R382" s="156">
        <f>TVATGAPLUBCORSE</f>
        <v>3.5790300000000004</v>
      </c>
      <c r="S382" s="235"/>
      <c r="T382" s="54">
        <v>5703</v>
      </c>
      <c r="U382" s="253" t="s">
        <v>763</v>
      </c>
      <c r="W382" s="258">
        <v>5942</v>
      </c>
      <c r="X382" s="258"/>
      <c r="Y382" s="635">
        <v>9181</v>
      </c>
      <c r="Z382" s="635" t="s">
        <v>764</v>
      </c>
      <c r="AA382" s="58"/>
      <c r="AB382" s="224"/>
      <c r="AC382" s="30"/>
      <c r="AD382" s="184"/>
      <c r="AE382" s="148"/>
      <c r="AF382" s="148"/>
      <c r="AG382" s="148"/>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row>
    <row r="383" spans="1:59" ht="12.75">
      <c r="A383" s="42">
        <v>181</v>
      </c>
      <c r="B383" s="625" t="s">
        <v>765</v>
      </c>
      <c r="C383" s="604" t="s">
        <v>766</v>
      </c>
      <c r="D383" s="45" t="s">
        <v>767</v>
      </c>
      <c r="E383" s="98">
        <f>4.6%</f>
        <v>0.046</v>
      </c>
      <c r="F383" s="133"/>
      <c r="G383" s="100" t="s">
        <v>768</v>
      </c>
      <c r="H383" s="605" t="s">
        <v>769</v>
      </c>
      <c r="I383" s="44">
        <f>VFHL</f>
        <v>22.87</v>
      </c>
      <c r="J383" s="44" t="s">
        <v>770</v>
      </c>
      <c r="K383" s="588">
        <f>ROUND(I383*4.6%,2)</f>
        <v>1.05</v>
      </c>
      <c r="L383" s="134"/>
      <c r="M383" s="152" t="s">
        <v>771</v>
      </c>
      <c r="N383" s="153"/>
      <c r="O383" s="154" t="str">
        <f>P</f>
        <v>. . .</v>
      </c>
      <c r="P383" s="92" t="s">
        <v>772</v>
      </c>
      <c r="Q383" s="155">
        <f>TVALUBMETRO</f>
        <v>4.649120000000001</v>
      </c>
      <c r="R383" s="156">
        <f>TVALUBCORSE</f>
        <v>3.0836000000000006</v>
      </c>
      <c r="S383" s="154"/>
      <c r="V383" s="56"/>
      <c r="W383" s="258">
        <v>5900</v>
      </c>
      <c r="X383" s="258"/>
      <c r="Y383" s="256"/>
      <c r="Z383" s="256"/>
      <c r="AA383" s="58"/>
      <c r="AB383" s="224"/>
      <c r="AC383" s="30"/>
      <c r="AD383" s="184"/>
      <c r="AE383" s="148"/>
      <c r="AF383" s="148"/>
      <c r="AG383" s="148"/>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row>
    <row r="384" spans="1:59" ht="24" customHeight="1">
      <c r="A384" s="320"/>
      <c r="B384" s="321"/>
      <c r="C384" s="606"/>
      <c r="D384" s="45"/>
      <c r="E384" s="430"/>
      <c r="F384" s="133"/>
      <c r="G384" s="100"/>
      <c r="H384" s="605"/>
      <c r="I384" s="44"/>
      <c r="J384" s="44"/>
      <c r="K384" s="586"/>
      <c r="L384" s="134"/>
      <c r="M384" s="152"/>
      <c r="N384" s="153"/>
      <c r="O384" s="537"/>
      <c r="P384" s="92"/>
      <c r="Q384" s="155"/>
      <c r="R384" s="156"/>
      <c r="S384" s="235"/>
      <c r="T384" s="54"/>
      <c r="U384" s="253"/>
      <c r="W384" s="258"/>
      <c r="X384" s="258"/>
      <c r="Y384" s="635"/>
      <c r="Z384" s="635"/>
      <c r="AA384" s="58"/>
      <c r="AB384" s="224"/>
      <c r="AC384" s="30"/>
      <c r="AD384" s="184"/>
      <c r="AE384" s="148"/>
      <c r="AF384" s="148"/>
      <c r="AG384" s="148"/>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row>
    <row r="385" spans="1:59" ht="40.5" customHeight="1">
      <c r="A385" s="42"/>
      <c r="B385" s="563"/>
      <c r="C385" s="636" t="s">
        <v>773</v>
      </c>
      <c r="D385" s="278"/>
      <c r="E385" s="463"/>
      <c r="F385" s="41"/>
      <c r="G385" s="571"/>
      <c r="H385" s="571"/>
      <c r="I385" s="275"/>
      <c r="J385" s="275"/>
      <c r="K385" s="404"/>
      <c r="L385" s="404"/>
      <c r="M385" s="282"/>
      <c r="N385" s="283"/>
      <c r="O385" s="139"/>
      <c r="P385" s="275"/>
      <c r="Q385" s="285"/>
      <c r="R385" s="286"/>
      <c r="S385" s="154"/>
      <c r="T385" s="157"/>
      <c r="U385" s="158"/>
      <c r="V385" s="159"/>
      <c r="W385" s="160"/>
      <c r="X385" s="160"/>
      <c r="Y385" s="161"/>
      <c r="Z385" s="161"/>
      <c r="AA385" s="256"/>
      <c r="AB385" s="224"/>
      <c r="AC385" s="30"/>
      <c r="AD385" s="184"/>
      <c r="AE385" s="148"/>
      <c r="AF385" s="148"/>
      <c r="AG385" s="148"/>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row>
    <row r="386" spans="1:59" ht="12.75">
      <c r="A386" s="42"/>
      <c r="B386" s="563"/>
      <c r="C386" s="637"/>
      <c r="D386" s="45"/>
      <c r="E386" s="98"/>
      <c r="F386" s="133"/>
      <c r="G386" s="100" t="str">
        <f>P</f>
        <v>. . .</v>
      </c>
      <c r="H386" s="431" t="s">
        <v>774</v>
      </c>
      <c r="I386" s="44"/>
      <c r="J386" s="44"/>
      <c r="K386" s="225"/>
      <c r="L386" s="134"/>
      <c r="M386" s="152"/>
      <c r="N386" s="153"/>
      <c r="O386" s="154"/>
      <c r="P386" s="92"/>
      <c r="Q386" s="155"/>
      <c r="R386" s="156"/>
      <c r="S386" s="235"/>
      <c r="T386" s="353"/>
      <c r="U386" s="354"/>
      <c r="AA386" s="256"/>
      <c r="AB386" s="224"/>
      <c r="AC386" s="30"/>
      <c r="AD386" s="184"/>
      <c r="AE386" s="148"/>
      <c r="AF386" s="148"/>
      <c r="AG386" s="148"/>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row>
    <row r="387" spans="1:59" ht="12.75">
      <c r="A387" s="42"/>
      <c r="B387" s="563"/>
      <c r="C387" s="637"/>
      <c r="D387" s="45"/>
      <c r="E387" s="98"/>
      <c r="F387" s="133"/>
      <c r="G387" s="100"/>
      <c r="H387" s="431"/>
      <c r="I387" s="44"/>
      <c r="J387" s="44"/>
      <c r="K387" s="225"/>
      <c r="L387" s="134"/>
      <c r="M387" s="152"/>
      <c r="N387" s="153"/>
      <c r="O387" s="154"/>
      <c r="P387" s="92"/>
      <c r="Q387" s="155"/>
      <c r="R387" s="156"/>
      <c r="S387" s="235"/>
      <c r="T387" s="353"/>
      <c r="U387" s="354"/>
      <c r="AA387" s="161"/>
      <c r="AB387" s="224"/>
      <c r="AC387" s="30"/>
      <c r="AD387" s="184"/>
      <c r="AE387" s="148"/>
      <c r="AF387" s="148"/>
      <c r="AG387" s="148"/>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row>
    <row r="388" spans="1:59" ht="12.75">
      <c r="A388" s="42"/>
      <c r="B388" s="638"/>
      <c r="C388" s="639" t="s">
        <v>775</v>
      </c>
      <c r="D388" s="45"/>
      <c r="E388" s="430"/>
      <c r="F388" s="133"/>
      <c r="G388" s="100"/>
      <c r="H388" s="431"/>
      <c r="I388" s="44"/>
      <c r="J388" s="44"/>
      <c r="K388" s="534"/>
      <c r="L388" s="134"/>
      <c r="M388" s="152"/>
      <c r="N388" s="153"/>
      <c r="O388" s="154"/>
      <c r="P388" s="92"/>
      <c r="Q388" s="155"/>
      <c r="R388" s="156"/>
      <c r="S388" s="235"/>
      <c r="T388" s="157"/>
      <c r="U388" s="158"/>
      <c r="V388" s="159"/>
      <c r="W388" s="160"/>
      <c r="X388" s="160"/>
      <c r="Y388" s="161"/>
      <c r="Z388" s="161"/>
      <c r="AA388" s="161"/>
      <c r="AB388" s="224"/>
      <c r="AC388" s="30"/>
      <c r="AD388" s="184"/>
      <c r="AE388" s="148"/>
      <c r="AF388" s="148"/>
      <c r="AG388" s="148"/>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row>
    <row r="389" spans="1:59" ht="12.75">
      <c r="A389" s="42"/>
      <c r="B389" s="638"/>
      <c r="C389" s="568" t="s">
        <v>776</v>
      </c>
      <c r="D389" s="45"/>
      <c r="E389" s="430"/>
      <c r="F389" s="133"/>
      <c r="G389" s="100"/>
      <c r="H389" s="431"/>
      <c r="I389" s="44"/>
      <c r="J389" s="44"/>
      <c r="K389" s="534"/>
      <c r="L389" s="134"/>
      <c r="M389" s="152"/>
      <c r="N389" s="153"/>
      <c r="O389" s="154"/>
      <c r="P389" s="92"/>
      <c r="Q389" s="155"/>
      <c r="R389" s="156"/>
      <c r="S389" s="166"/>
      <c r="T389" s="157"/>
      <c r="U389" s="158"/>
      <c r="V389" s="159"/>
      <c r="W389" s="160"/>
      <c r="X389" s="160"/>
      <c r="Y389" s="161"/>
      <c r="Z389" s="161"/>
      <c r="AB389" s="224"/>
      <c r="AC389" s="30"/>
      <c r="AD389" s="184"/>
      <c r="AE389" s="148"/>
      <c r="AF389" s="148"/>
      <c r="AG389" s="148"/>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row>
    <row r="390" spans="1:59" ht="12.75">
      <c r="A390" s="42">
        <v>182</v>
      </c>
      <c r="B390" s="563" t="s">
        <v>777</v>
      </c>
      <c r="C390" s="585" t="s">
        <v>778</v>
      </c>
      <c r="D390" s="45" t="str">
        <f>P</f>
        <v>. . .</v>
      </c>
      <c r="E390" s="430">
        <v>0.065</v>
      </c>
      <c r="F390" s="133"/>
      <c r="G390" s="100" t="str">
        <f>P</f>
        <v>. . .</v>
      </c>
      <c r="H390" s="431" t="s">
        <v>779</v>
      </c>
      <c r="I390" s="44" t="s">
        <v>780</v>
      </c>
      <c r="J390" s="44" t="s">
        <v>781</v>
      </c>
      <c r="K390" s="534">
        <v>0.065</v>
      </c>
      <c r="L390" s="134"/>
      <c r="M390" s="152" t="str">
        <f>"(9)"</f>
        <v>(9)</v>
      </c>
      <c r="N390" s="153"/>
      <c r="O390" s="154" t="str">
        <f>P</f>
        <v>. . .</v>
      </c>
      <c r="P390" s="92" t="s">
        <v>782</v>
      </c>
      <c r="Q390" s="92" t="str">
        <f aca="true" t="shared" si="9" ref="Q390:R392">VI</f>
        <v>(25)</v>
      </c>
      <c r="R390" s="171" t="str">
        <f t="shared" si="9"/>
        <v>(25)</v>
      </c>
      <c r="S390" s="166"/>
      <c r="W390" s="160" t="str">
        <f>t</f>
        <v>TVO</v>
      </c>
      <c r="X390" s="160"/>
      <c r="Y390" s="161">
        <v>4004</v>
      </c>
      <c r="Z390" s="161">
        <v>9348</v>
      </c>
      <c r="AB390" s="224"/>
      <c r="AC390" s="30"/>
      <c r="AD390" s="184"/>
      <c r="AE390" s="148"/>
      <c r="AF390" s="148"/>
      <c r="AG390" s="148"/>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row>
    <row r="391" spans="1:59" ht="12.75">
      <c r="A391" s="42">
        <v>183</v>
      </c>
      <c r="B391" s="563" t="s">
        <v>783</v>
      </c>
      <c r="C391" s="585" t="s">
        <v>784</v>
      </c>
      <c r="D391" s="45" t="str">
        <f>P</f>
        <v>. . .</v>
      </c>
      <c r="E391" s="430">
        <v>0.058</v>
      </c>
      <c r="F391" s="133"/>
      <c r="G391" s="100" t="str">
        <f>P</f>
        <v>. . .</v>
      </c>
      <c r="H391" s="431" t="s">
        <v>785</v>
      </c>
      <c r="I391" s="44" t="s">
        <v>786</v>
      </c>
      <c r="J391" s="44" t="s">
        <v>787</v>
      </c>
      <c r="K391" s="534">
        <v>0.058</v>
      </c>
      <c r="L391" s="134"/>
      <c r="M391" s="152" t="str">
        <f>"(9)"</f>
        <v>(9)</v>
      </c>
      <c r="N391" s="153"/>
      <c r="O391" s="154" t="str">
        <f>P</f>
        <v>. . .</v>
      </c>
      <c r="P391" s="92" t="s">
        <v>788</v>
      </c>
      <c r="Q391" s="92" t="str">
        <f t="shared" si="9"/>
        <v>(25)</v>
      </c>
      <c r="R391" s="171" t="str">
        <f t="shared" si="9"/>
        <v>(25)</v>
      </c>
      <c r="S391" s="41"/>
      <c r="W391" s="160" t="str">
        <f>t</f>
        <v>TVO</v>
      </c>
      <c r="X391" s="160"/>
      <c r="Y391" s="161">
        <v>4004</v>
      </c>
      <c r="Z391" s="161">
        <v>9348</v>
      </c>
      <c r="AA391" s="161"/>
      <c r="AB391" s="224"/>
      <c r="AC391" s="30"/>
      <c r="AD391" s="184"/>
      <c r="AE391" s="148"/>
      <c r="AF391" s="148"/>
      <c r="AG391" s="148"/>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row>
    <row r="392" spans="1:59" ht="12.75">
      <c r="A392" s="42">
        <v>184</v>
      </c>
      <c r="B392" s="563" t="s">
        <v>789</v>
      </c>
      <c r="C392" s="568" t="s">
        <v>790</v>
      </c>
      <c r="D392" s="45" t="str">
        <f>P</f>
        <v>. . .</v>
      </c>
      <c r="E392" s="98">
        <v>0.058</v>
      </c>
      <c r="F392" s="133"/>
      <c r="G392" s="100" t="str">
        <f>P</f>
        <v>. . .</v>
      </c>
      <c r="H392" s="431" t="s">
        <v>791</v>
      </c>
      <c r="I392" s="44" t="s">
        <v>792</v>
      </c>
      <c r="J392" s="44" t="s">
        <v>793</v>
      </c>
      <c r="K392" s="225">
        <v>0.058</v>
      </c>
      <c r="L392" s="134"/>
      <c r="M392" s="152" t="str">
        <f>"(9)"</f>
        <v>(9)</v>
      </c>
      <c r="N392" s="153"/>
      <c r="O392" s="154" t="str">
        <f>P</f>
        <v>. . .</v>
      </c>
      <c r="P392" s="92" t="s">
        <v>794</v>
      </c>
      <c r="Q392" s="92" t="str">
        <f t="shared" si="9"/>
        <v>(25)</v>
      </c>
      <c r="R392" s="171" t="str">
        <f t="shared" si="9"/>
        <v>(25)</v>
      </c>
      <c r="S392" s="41"/>
      <c r="W392" s="160" t="str">
        <f>t</f>
        <v>TVO</v>
      </c>
      <c r="X392" s="160"/>
      <c r="Y392" s="161">
        <v>4004</v>
      </c>
      <c r="Z392" s="161">
        <v>9348</v>
      </c>
      <c r="AA392" s="161"/>
      <c r="AB392" s="224"/>
      <c r="AC392" s="30"/>
      <c r="AD392" s="184"/>
      <c r="AE392" s="148"/>
      <c r="AF392" s="148"/>
      <c r="AG392" s="148"/>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row>
    <row r="393" spans="1:59" ht="12.75">
      <c r="A393" s="42"/>
      <c r="B393" s="565"/>
      <c r="C393" s="577" t="s">
        <v>795</v>
      </c>
      <c r="D393" s="236"/>
      <c r="E393" s="237"/>
      <c r="F393" s="238"/>
      <c r="G393" s="239"/>
      <c r="H393" s="240"/>
      <c r="I393" s="241"/>
      <c r="J393" s="241"/>
      <c r="K393" s="242"/>
      <c r="L393" s="242"/>
      <c r="M393" s="243"/>
      <c r="N393" s="244"/>
      <c r="O393" s="245"/>
      <c r="P393" s="269"/>
      <c r="Q393" s="247"/>
      <c r="R393" s="138"/>
      <c r="S393" s="166"/>
      <c r="T393" s="54"/>
      <c r="U393" s="55"/>
      <c r="V393" s="56"/>
      <c r="W393" s="57"/>
      <c r="X393" s="57"/>
      <c r="Y393" s="58"/>
      <c r="Z393" s="58"/>
      <c r="AA393" s="161"/>
      <c r="AB393" s="224"/>
      <c r="AC393" s="30"/>
      <c r="AD393" s="184"/>
      <c r="AE393" s="148"/>
      <c r="AF393" s="148"/>
      <c r="AG393" s="148"/>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row>
    <row r="394" spans="1:59" ht="12.75">
      <c r="A394" s="42"/>
      <c r="B394" s="563"/>
      <c r="C394" s="568" t="s">
        <v>796</v>
      </c>
      <c r="D394" s="45"/>
      <c r="E394" s="430"/>
      <c r="F394" s="133"/>
      <c r="G394" s="100"/>
      <c r="H394" s="101"/>
      <c r="I394" s="44"/>
      <c r="J394" s="44"/>
      <c r="K394" s="432"/>
      <c r="L394" s="134"/>
      <c r="M394" s="152"/>
      <c r="N394" s="153"/>
      <c r="O394" s="154"/>
      <c r="P394" s="92"/>
      <c r="Q394" s="155"/>
      <c r="R394" s="156"/>
      <c r="S394" s="166"/>
      <c r="T394" s="157"/>
      <c r="U394" s="158"/>
      <c r="V394" s="159"/>
      <c r="W394" s="160"/>
      <c r="X394" s="160"/>
      <c r="Y394" s="161"/>
      <c r="Z394" s="161"/>
      <c r="AA394" s="161"/>
      <c r="AB394" s="224"/>
      <c r="AC394" s="30"/>
      <c r="AD394" s="184"/>
      <c r="AE394" s="148"/>
      <c r="AF394" s="148"/>
      <c r="AG394" s="148"/>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row>
    <row r="395" spans="1:59" ht="12.75">
      <c r="A395" s="42"/>
      <c r="B395" s="563"/>
      <c r="C395" s="585" t="s">
        <v>797</v>
      </c>
      <c r="D395" s="45"/>
      <c r="E395" s="430"/>
      <c r="F395" s="133"/>
      <c r="G395" s="100"/>
      <c r="H395" s="101"/>
      <c r="I395" s="44"/>
      <c r="J395" s="44"/>
      <c r="K395" s="432"/>
      <c r="L395" s="134"/>
      <c r="M395" s="152"/>
      <c r="N395" s="153"/>
      <c r="O395" s="154"/>
      <c r="P395" s="92"/>
      <c r="Q395" s="155"/>
      <c r="R395" s="156"/>
      <c r="S395" s="166"/>
      <c r="T395" s="24"/>
      <c r="U395" s="25"/>
      <c r="V395" s="26"/>
      <c r="W395" s="27"/>
      <c r="X395" s="27"/>
      <c r="Y395" s="28"/>
      <c r="Z395" s="28"/>
      <c r="AA395" s="58"/>
      <c r="AB395" s="224"/>
      <c r="AC395" s="30"/>
      <c r="AD395" s="184"/>
      <c r="AE395" s="148"/>
      <c r="AF395" s="148"/>
      <c r="AG395" s="148"/>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row>
    <row r="396" spans="1:59" ht="12.75">
      <c r="A396" s="42"/>
      <c r="B396" s="563"/>
      <c r="C396" s="585" t="s">
        <v>798</v>
      </c>
      <c r="D396" s="45"/>
      <c r="E396" s="430"/>
      <c r="F396" s="133"/>
      <c r="G396" s="100"/>
      <c r="H396" s="101"/>
      <c r="I396" s="44"/>
      <c r="J396" s="44"/>
      <c r="K396" s="437"/>
      <c r="L396" s="134"/>
      <c r="M396" s="152"/>
      <c r="N396" s="153"/>
      <c r="O396" s="154"/>
      <c r="P396" s="92"/>
      <c r="Q396" s="155"/>
      <c r="R396" s="196"/>
      <c r="S396" s="166"/>
      <c r="T396" s="157"/>
      <c r="U396" s="158"/>
      <c r="V396" s="159"/>
      <c r="W396" s="160"/>
      <c r="X396" s="160"/>
      <c r="Y396" s="161"/>
      <c r="Z396" s="161"/>
      <c r="AA396" s="58"/>
      <c r="AB396" s="224"/>
      <c r="AC396" s="30"/>
      <c r="AD396" s="184"/>
      <c r="AE396" s="148"/>
      <c r="AF396" s="148"/>
      <c r="AG396" s="148"/>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row>
    <row r="397" spans="1:59" ht="24" customHeight="1">
      <c r="A397" s="320">
        <v>185</v>
      </c>
      <c r="B397" s="321" t="s">
        <v>799</v>
      </c>
      <c r="C397" s="606" t="s">
        <v>800</v>
      </c>
      <c r="D397" s="45" t="str">
        <f>P</f>
        <v>. . .</v>
      </c>
      <c r="E397" s="430">
        <f>5.3%</f>
        <v>0.053</v>
      </c>
      <c r="F397" s="133"/>
      <c r="G397" s="100" t="str">
        <f>P</f>
        <v>. . .</v>
      </c>
      <c r="H397" s="101" t="str">
        <f>P</f>
        <v>. . .</v>
      </c>
      <c r="I397" s="44">
        <f>VFADDITIF</f>
        <v>106.71</v>
      </c>
      <c r="J397" s="44" t="s">
        <v>801</v>
      </c>
      <c r="K397" s="437">
        <f>ROUND(I397*5.3%,2)</f>
        <v>5.66</v>
      </c>
      <c r="L397" s="134"/>
      <c r="M397" s="152" t="s">
        <v>802</v>
      </c>
      <c r="N397" s="153"/>
      <c r="O397" s="537">
        <f>TGAP</f>
        <v>3.811</v>
      </c>
      <c r="P397" s="92" t="s">
        <v>803</v>
      </c>
      <c r="Q397" s="155">
        <f>SUM(I397:P397)*19.6%</f>
        <v>22.771475999999996</v>
      </c>
      <c r="R397" s="196">
        <f>SUM(I397:P397)*13%</f>
        <v>15.103529999999997</v>
      </c>
      <c r="S397" s="154"/>
      <c r="T397" s="157">
        <v>5703</v>
      </c>
      <c r="U397" s="158"/>
      <c r="W397" s="167">
        <v>5964</v>
      </c>
      <c r="X397" s="167"/>
      <c r="Y397" s="161">
        <v>9181</v>
      </c>
      <c r="Z397" s="28" t="s">
        <v>804</v>
      </c>
      <c r="AA397" s="161"/>
      <c r="AB397" s="224"/>
      <c r="AC397" s="30"/>
      <c r="AD397" s="184"/>
      <c r="AE397" s="184"/>
      <c r="AF397" s="184"/>
      <c r="AG397" s="184"/>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row>
    <row r="398" spans="1:59" ht="12.75">
      <c r="A398" s="42">
        <v>186</v>
      </c>
      <c r="B398" s="23" t="s">
        <v>805</v>
      </c>
      <c r="C398" s="604" t="s">
        <v>806</v>
      </c>
      <c r="D398" s="45" t="str">
        <f>P</f>
        <v>. . .</v>
      </c>
      <c r="E398" s="430">
        <f>5.3%</f>
        <v>0.053</v>
      </c>
      <c r="F398" s="133"/>
      <c r="G398" s="100" t="str">
        <f>P</f>
        <v>. . .</v>
      </c>
      <c r="H398" s="101" t="str">
        <f>P</f>
        <v>. . .</v>
      </c>
      <c r="I398" s="44">
        <f>VFADDITIF</f>
        <v>106.71</v>
      </c>
      <c r="J398" s="44" t="s">
        <v>807</v>
      </c>
      <c r="K398" s="437">
        <f>ROUND(I398*5.3%,2)</f>
        <v>5.66</v>
      </c>
      <c r="L398" s="134"/>
      <c r="M398" s="152" t="s">
        <v>808</v>
      </c>
      <c r="N398" s="153"/>
      <c r="O398" s="537" t="str">
        <f>P</f>
        <v>. . .</v>
      </c>
      <c r="P398" s="92" t="s">
        <v>809</v>
      </c>
      <c r="Q398" s="155">
        <f>SUM(I398:P398)*19.6%</f>
        <v>22.02452</v>
      </c>
      <c r="R398" s="196">
        <f>SUM(I398:P398)*13%</f>
        <v>14.608099999999999</v>
      </c>
      <c r="S398" s="154"/>
      <c r="V398" s="159"/>
      <c r="W398" s="167">
        <v>5920</v>
      </c>
      <c r="X398" s="167"/>
      <c r="Y398" s="161"/>
      <c r="Z398" s="161"/>
      <c r="AA398" s="28"/>
      <c r="AB398" s="224"/>
      <c r="AC398" s="30"/>
      <c r="AD398" s="184"/>
      <c r="AE398" s="184"/>
      <c r="AF398" s="184"/>
      <c r="AG398" s="184"/>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row>
    <row r="399" spans="1:59" ht="12.75">
      <c r="A399" s="42"/>
      <c r="B399" s="563"/>
      <c r="C399" s="585" t="s">
        <v>810</v>
      </c>
      <c r="D399" s="45"/>
      <c r="E399" s="430"/>
      <c r="F399" s="133"/>
      <c r="G399" s="429"/>
      <c r="H399" s="101"/>
      <c r="I399" s="44"/>
      <c r="J399" s="44"/>
      <c r="K399" s="437"/>
      <c r="L399" s="134"/>
      <c r="M399" s="152"/>
      <c r="N399" s="153"/>
      <c r="O399" s="537"/>
      <c r="P399" s="92"/>
      <c r="Q399" s="155"/>
      <c r="R399" s="196"/>
      <c r="S399" s="166"/>
      <c r="T399" s="157"/>
      <c r="U399" s="158"/>
      <c r="V399" s="159"/>
      <c r="W399" s="160"/>
      <c r="X399" s="160"/>
      <c r="Y399" s="161"/>
      <c r="Z399" s="161"/>
      <c r="AA399" s="161"/>
      <c r="AC399" s="30"/>
      <c r="AD399" s="184"/>
      <c r="AE399" s="184"/>
      <c r="AF399" s="184"/>
      <c r="AG399" s="184"/>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row>
    <row r="400" spans="1:59" ht="24" customHeight="1">
      <c r="A400" s="320">
        <v>187</v>
      </c>
      <c r="B400" s="321" t="s">
        <v>811</v>
      </c>
      <c r="C400" s="606" t="s">
        <v>812</v>
      </c>
      <c r="D400" s="45" t="str">
        <f>P</f>
        <v>. . .</v>
      </c>
      <c r="E400" s="430">
        <f>5.3%</f>
        <v>0.053</v>
      </c>
      <c r="F400" s="133"/>
      <c r="G400" s="100" t="str">
        <f>P</f>
        <v>. . .</v>
      </c>
      <c r="H400" s="101" t="str">
        <f>P</f>
        <v>. . .</v>
      </c>
      <c r="I400" s="44">
        <f>VFADDITIF</f>
        <v>106.71</v>
      </c>
      <c r="J400" s="44" t="s">
        <v>813</v>
      </c>
      <c r="K400" s="437">
        <f>ROUND(I400*5.3%,2)</f>
        <v>5.66</v>
      </c>
      <c r="L400" s="134"/>
      <c r="M400" s="152" t="s">
        <v>814</v>
      </c>
      <c r="N400" s="153"/>
      <c r="O400" s="537">
        <f>TGAP</f>
        <v>3.811</v>
      </c>
      <c r="P400" s="92" t="s">
        <v>815</v>
      </c>
      <c r="Q400" s="155">
        <f>ADDLUBTGAPMETRO</f>
        <v>22.771475999999996</v>
      </c>
      <c r="R400" s="196">
        <f>ADDLUBTGAPCORSE</f>
        <v>15.103529999999997</v>
      </c>
      <c r="S400" s="23"/>
      <c r="T400" s="157">
        <v>5703</v>
      </c>
      <c r="U400" s="158"/>
      <c r="W400" s="167">
        <v>5964</v>
      </c>
      <c r="X400" s="167"/>
      <c r="Y400" s="161">
        <v>9181</v>
      </c>
      <c r="Z400" s="28" t="s">
        <v>816</v>
      </c>
      <c r="AA400" s="161"/>
      <c r="AC400" s="30"/>
      <c r="AD400" s="184"/>
      <c r="AE400" s="184"/>
      <c r="AF400" s="640"/>
      <c r="AG400" s="640"/>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row>
    <row r="401" spans="1:59" ht="12.75">
      <c r="A401" s="42">
        <v>188</v>
      </c>
      <c r="B401" s="23" t="s">
        <v>817</v>
      </c>
      <c r="C401" s="604" t="s">
        <v>818</v>
      </c>
      <c r="D401" s="45" t="str">
        <f>P</f>
        <v>. . .</v>
      </c>
      <c r="E401" s="430">
        <f>5.3%</f>
        <v>0.053</v>
      </c>
      <c r="F401" s="133"/>
      <c r="G401" s="100" t="str">
        <f>P</f>
        <v>. . .</v>
      </c>
      <c r="H401" s="101" t="str">
        <f>P</f>
        <v>. . .</v>
      </c>
      <c r="I401" s="44">
        <f>VFADDITIF</f>
        <v>106.71</v>
      </c>
      <c r="J401" s="44" t="s">
        <v>819</v>
      </c>
      <c r="K401" s="437">
        <f>ROUND(I401*5.3%,2)</f>
        <v>5.66</v>
      </c>
      <c r="L401" s="134"/>
      <c r="M401" s="152" t="s">
        <v>820</v>
      </c>
      <c r="N401" s="153"/>
      <c r="O401" s="154" t="str">
        <f>P</f>
        <v>. . .</v>
      </c>
      <c r="P401" s="92" t="s">
        <v>821</v>
      </c>
      <c r="Q401" s="155">
        <f>ADDLUBMETRO</f>
        <v>22.02452</v>
      </c>
      <c r="R401" s="196">
        <f>ADDLUBCORSE</f>
        <v>14.608099999999999</v>
      </c>
      <c r="S401" s="166"/>
      <c r="V401" s="159"/>
      <c r="W401" s="167">
        <v>5920</v>
      </c>
      <c r="X401" s="167"/>
      <c r="Y401" s="161"/>
      <c r="Z401" s="161"/>
      <c r="AA401" s="161"/>
      <c r="AB401" s="224"/>
      <c r="AC401" s="30"/>
      <c r="AD401" s="184"/>
      <c r="AE401" s="148"/>
      <c r="AF401" s="640"/>
      <c r="AG401" s="640"/>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row>
    <row r="402" spans="1:59" ht="12.75">
      <c r="A402" s="42"/>
      <c r="B402" s="563"/>
      <c r="C402" s="585" t="s">
        <v>822</v>
      </c>
      <c r="D402" s="45"/>
      <c r="E402" s="98"/>
      <c r="F402" s="133"/>
      <c r="G402" s="429"/>
      <c r="H402" s="101"/>
      <c r="I402" s="44"/>
      <c r="J402" s="44"/>
      <c r="K402" s="225"/>
      <c r="L402" s="134"/>
      <c r="M402" s="152"/>
      <c r="N402" s="153"/>
      <c r="O402" s="154"/>
      <c r="P402" s="92"/>
      <c r="Q402" s="155"/>
      <c r="R402" s="156"/>
      <c r="S402" s="166"/>
      <c r="T402" s="157"/>
      <c r="U402" s="158"/>
      <c r="V402" s="159"/>
      <c r="W402" s="160"/>
      <c r="X402" s="160"/>
      <c r="Y402" s="161"/>
      <c r="Z402" s="161"/>
      <c r="AA402" s="161"/>
      <c r="AB402" s="224"/>
      <c r="AC402" s="30"/>
      <c r="AD402" s="184"/>
      <c r="AE402" s="148"/>
      <c r="AF402" s="640"/>
      <c r="AG402" s="640"/>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row>
    <row r="403" spans="1:59" ht="12.75">
      <c r="A403" s="42">
        <v>189</v>
      </c>
      <c r="B403" s="563" t="s">
        <v>823</v>
      </c>
      <c r="C403" s="568" t="s">
        <v>824</v>
      </c>
      <c r="D403" s="45"/>
      <c r="E403" s="98"/>
      <c r="F403" s="133"/>
      <c r="G403" s="429"/>
      <c r="H403" s="101"/>
      <c r="I403" s="44"/>
      <c r="J403" s="44"/>
      <c r="K403" s="225"/>
      <c r="L403" s="134"/>
      <c r="M403" s="152"/>
      <c r="N403" s="153"/>
      <c r="O403" s="154"/>
      <c r="P403" s="92"/>
      <c r="Q403" s="155"/>
      <c r="R403" s="156"/>
      <c r="S403" s="166"/>
      <c r="T403" s="157"/>
      <c r="U403" s="158"/>
      <c r="V403" s="159"/>
      <c r="W403" s="160"/>
      <c r="X403" s="160"/>
      <c r="Y403" s="161"/>
      <c r="Z403" s="161"/>
      <c r="AA403" s="161"/>
      <c r="AB403" s="224"/>
      <c r="AC403" s="30"/>
      <c r="AD403" s="184"/>
      <c r="AE403" s="148"/>
      <c r="AF403" s="640"/>
      <c r="AG403" s="640"/>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row>
    <row r="404" spans="1:59" ht="12.75">
      <c r="A404" s="42"/>
      <c r="B404" s="23"/>
      <c r="C404" s="104" t="s">
        <v>825</v>
      </c>
      <c r="D404" s="44" t="s">
        <v>826</v>
      </c>
      <c r="E404" s="98">
        <f>TEC381190</f>
        <v>0.058</v>
      </c>
      <c r="F404" s="133"/>
      <c r="G404" s="429" t="s">
        <v>827</v>
      </c>
      <c r="H404" s="101" t="s">
        <v>828</v>
      </c>
      <c r="I404" s="44" t="s">
        <v>829</v>
      </c>
      <c r="J404" s="44" t="s">
        <v>830</v>
      </c>
      <c r="K404" s="225">
        <f>TEC381190</f>
        <v>0.058</v>
      </c>
      <c r="L404" s="134"/>
      <c r="M404" s="152" t="s">
        <v>831</v>
      </c>
      <c r="N404" s="153"/>
      <c r="O404" s="154" t="str">
        <f>P</f>
        <v>. . .</v>
      </c>
      <c r="P404" s="92" t="s">
        <v>832</v>
      </c>
      <c r="Q404" s="92" t="str">
        <f>VI</f>
        <v>(25)</v>
      </c>
      <c r="R404" s="171" t="str">
        <f>VI</f>
        <v>(25)</v>
      </c>
      <c r="S404" s="166"/>
      <c r="V404" s="159"/>
      <c r="W404" s="160" t="str">
        <f>t</f>
        <v>TVO</v>
      </c>
      <c r="X404" s="160"/>
      <c r="Y404" s="161"/>
      <c r="Z404" s="161"/>
      <c r="AA404" s="161"/>
      <c r="AB404" s="224"/>
      <c r="AC404" s="30"/>
      <c r="AD404" s="184"/>
      <c r="AE404" s="148"/>
      <c r="AF404" s="640"/>
      <c r="AG404" s="640"/>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row>
    <row r="405" spans="1:92" s="651" customFormat="1" ht="12.75">
      <c r="A405" s="197">
        <v>190</v>
      </c>
      <c r="B405" s="607" t="s">
        <v>833</v>
      </c>
      <c r="C405" s="641" t="s">
        <v>834</v>
      </c>
      <c r="D405" s="205" t="s">
        <v>835</v>
      </c>
      <c r="E405" s="201">
        <f>TEC381190</f>
        <v>0.058</v>
      </c>
      <c r="F405" s="202"/>
      <c r="G405" s="642"/>
      <c r="H405" s="260"/>
      <c r="I405" s="205" t="s">
        <v>836</v>
      </c>
      <c r="J405" s="205" t="s">
        <v>837</v>
      </c>
      <c r="K405" s="643">
        <f>TEC381190</f>
        <v>0.058</v>
      </c>
      <c r="L405" s="202"/>
      <c r="M405" s="610">
        <f>TIFBTS</f>
        <v>1.85</v>
      </c>
      <c r="N405" s="611"/>
      <c r="O405" s="644" t="str">
        <f>P</f>
        <v>. . .</v>
      </c>
      <c r="P405" s="210" t="s">
        <v>838</v>
      </c>
      <c r="Q405" s="210" t="str">
        <f>VI</f>
        <v>(25)</v>
      </c>
      <c r="R405" s="211" t="str">
        <f>VI</f>
        <v>(25)</v>
      </c>
      <c r="S405" s="613"/>
      <c r="T405" s="645">
        <v>5713</v>
      </c>
      <c r="U405" s="646"/>
      <c r="V405" s="647"/>
      <c r="W405" s="596" t="str">
        <f>t</f>
        <v>TVO</v>
      </c>
      <c r="X405" s="596"/>
      <c r="Y405" s="505"/>
      <c r="Z405" s="505"/>
      <c r="AA405" s="505"/>
      <c r="AB405" s="597"/>
      <c r="AC405" s="618"/>
      <c r="AD405" s="648"/>
      <c r="AE405" s="649"/>
      <c r="AF405" s="650"/>
      <c r="AG405" s="650"/>
      <c r="AH405" s="500"/>
      <c r="AI405" s="500"/>
      <c r="AJ405" s="500"/>
      <c r="AK405" s="500"/>
      <c r="AL405" s="500"/>
      <c r="AM405" s="500"/>
      <c r="AN405" s="500"/>
      <c r="AO405" s="500"/>
      <c r="AP405" s="500"/>
      <c r="AQ405" s="500"/>
      <c r="AR405" s="500"/>
      <c r="AS405" s="500"/>
      <c r="AT405" s="500"/>
      <c r="AU405" s="500"/>
      <c r="AV405" s="500"/>
      <c r="AW405" s="500"/>
      <c r="AX405" s="500"/>
      <c r="AY405" s="500"/>
      <c r="AZ405" s="500"/>
      <c r="BA405" s="500"/>
      <c r="BB405" s="500"/>
      <c r="BC405" s="500"/>
      <c r="BD405" s="500"/>
      <c r="BE405" s="500"/>
      <c r="BF405" s="500"/>
      <c r="BG405" s="500"/>
      <c r="BH405" s="621"/>
      <c r="BI405" s="621"/>
      <c r="BJ405" s="621"/>
      <c r="BK405" s="621"/>
      <c r="BL405" s="621"/>
      <c r="BM405" s="621"/>
      <c r="BN405" s="621"/>
      <c r="BO405" s="621"/>
      <c r="BP405" s="621"/>
      <c r="BQ405" s="621"/>
      <c r="BR405" s="621"/>
      <c r="BS405" s="621"/>
      <c r="BT405" s="621"/>
      <c r="BU405" s="621"/>
      <c r="BV405" s="621"/>
      <c r="BW405" s="621"/>
      <c r="BX405" s="621"/>
      <c r="BY405" s="621"/>
      <c r="BZ405" s="621"/>
      <c r="CA405" s="621"/>
      <c r="CB405" s="621"/>
      <c r="CC405" s="621"/>
      <c r="CD405" s="621"/>
      <c r="CE405" s="621"/>
      <c r="CF405" s="621"/>
      <c r="CG405" s="621"/>
      <c r="CH405" s="621"/>
      <c r="CI405" s="621"/>
      <c r="CJ405" s="621"/>
      <c r="CK405" s="621"/>
      <c r="CL405" s="621"/>
      <c r="CM405" s="621"/>
      <c r="CN405" s="621"/>
    </row>
    <row r="406" spans="1:59" ht="12.75">
      <c r="A406" s="42">
        <v>191</v>
      </c>
      <c r="B406" s="563" t="s">
        <v>839</v>
      </c>
      <c r="C406" s="568" t="s">
        <v>840</v>
      </c>
      <c r="D406" s="45"/>
      <c r="E406" s="98"/>
      <c r="F406" s="133"/>
      <c r="G406" s="429"/>
      <c r="H406" s="101"/>
      <c r="I406" s="44"/>
      <c r="J406" s="44"/>
      <c r="K406" s="225"/>
      <c r="L406" s="134"/>
      <c r="M406" s="152"/>
      <c r="N406" s="153"/>
      <c r="O406" s="154"/>
      <c r="P406" s="92"/>
      <c r="Q406" s="155"/>
      <c r="R406" s="156"/>
      <c r="S406" s="166"/>
      <c r="T406" s="54"/>
      <c r="U406" s="55"/>
      <c r="W406" s="57"/>
      <c r="X406" s="57"/>
      <c r="Y406" s="58"/>
      <c r="Z406" s="58"/>
      <c r="AA406" s="161"/>
      <c r="AB406" s="224"/>
      <c r="AC406" s="30"/>
      <c r="AD406" s="184"/>
      <c r="AE406" s="148"/>
      <c r="AF406" s="640"/>
      <c r="AG406" s="640"/>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row>
    <row r="407" spans="1:92" s="497" customFormat="1" ht="12.75">
      <c r="A407" s="42"/>
      <c r="B407" s="23"/>
      <c r="C407" s="104" t="s">
        <v>841</v>
      </c>
      <c r="D407" s="44" t="s">
        <v>842</v>
      </c>
      <c r="E407" s="98">
        <f>TEC381190</f>
        <v>0.058</v>
      </c>
      <c r="F407" s="133"/>
      <c r="G407" s="435" t="s">
        <v>843</v>
      </c>
      <c r="H407" s="43" t="s">
        <v>844</v>
      </c>
      <c r="I407" s="44" t="s">
        <v>845</v>
      </c>
      <c r="J407" s="44" t="s">
        <v>846</v>
      </c>
      <c r="K407" s="469">
        <f>TEC381190</f>
        <v>0.058</v>
      </c>
      <c r="L407" s="133"/>
      <c r="M407" s="152">
        <f>TIFD</f>
        <v>5.66</v>
      </c>
      <c r="N407" s="153"/>
      <c r="O407" s="154" t="str">
        <f>P</f>
        <v>. . .</v>
      </c>
      <c r="P407" s="92" t="s">
        <v>847</v>
      </c>
      <c r="Q407" s="92" t="str">
        <f>VI</f>
        <v>(25)</v>
      </c>
      <c r="R407" s="171" t="str">
        <f>VI</f>
        <v>(25)</v>
      </c>
      <c r="S407" s="166"/>
      <c r="T407" s="54">
        <v>5728</v>
      </c>
      <c r="U407" s="55"/>
      <c r="V407" s="9"/>
      <c r="W407" s="57" t="str">
        <f>t</f>
        <v>TVO</v>
      </c>
      <c r="X407" s="57"/>
      <c r="Y407" s="58"/>
      <c r="Z407" s="58"/>
      <c r="AA407" s="161"/>
      <c r="AB407" s="224"/>
      <c r="AC407" s="30"/>
      <c r="AD407" s="184"/>
      <c r="AE407" s="148"/>
      <c r="AF407" s="640"/>
      <c r="AG407" s="640"/>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row>
    <row r="408" spans="1:92" s="497" customFormat="1" ht="12.75">
      <c r="A408" s="42">
        <v>192</v>
      </c>
      <c r="B408" s="23" t="s">
        <v>848</v>
      </c>
      <c r="C408" s="104" t="s">
        <v>849</v>
      </c>
      <c r="D408" s="44"/>
      <c r="E408" s="98"/>
      <c r="F408" s="133"/>
      <c r="G408" s="435"/>
      <c r="H408" s="43"/>
      <c r="I408" s="44"/>
      <c r="J408" s="44"/>
      <c r="K408" s="469"/>
      <c r="L408" s="133"/>
      <c r="M408" s="152"/>
      <c r="N408" s="153"/>
      <c r="O408" s="154"/>
      <c r="P408" s="92"/>
      <c r="Q408" s="155"/>
      <c r="R408" s="156"/>
      <c r="S408" s="166"/>
      <c r="T408" s="157"/>
      <c r="U408" s="158"/>
      <c r="V408" s="9"/>
      <c r="W408" s="160"/>
      <c r="X408" s="160"/>
      <c r="Y408" s="161"/>
      <c r="Z408" s="161"/>
      <c r="AA408" s="161"/>
      <c r="AB408" s="224"/>
      <c r="AC408" s="30"/>
      <c r="AD408" s="184"/>
      <c r="AE408" s="184"/>
      <c r="AF408" s="640"/>
      <c r="AG408" s="640"/>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row>
    <row r="409" spans="1:92" s="652" customFormat="1" ht="12.75">
      <c r="A409" s="42"/>
      <c r="B409" s="23"/>
      <c r="C409" s="104" t="s">
        <v>850</v>
      </c>
      <c r="D409" s="44" t="s">
        <v>851</v>
      </c>
      <c r="E409" s="98">
        <f>TEC381190</f>
        <v>0.058</v>
      </c>
      <c r="F409" s="133"/>
      <c r="G409" s="435" t="s">
        <v>852</v>
      </c>
      <c r="H409" s="23" t="s">
        <v>853</v>
      </c>
      <c r="I409" s="44" t="s">
        <v>854</v>
      </c>
      <c r="J409" s="44" t="s">
        <v>855</v>
      </c>
      <c r="K409" s="469">
        <f>TEC381190</f>
        <v>0.058</v>
      </c>
      <c r="L409" s="133"/>
      <c r="M409" s="152">
        <f>TIGO</f>
        <v>41.69</v>
      </c>
      <c r="N409" s="153"/>
      <c r="O409" s="154" t="str">
        <f>P</f>
        <v>. . .</v>
      </c>
      <c r="P409" s="92" t="s">
        <v>856</v>
      </c>
      <c r="Q409" s="92" t="str">
        <f>VI</f>
        <v>(25)</v>
      </c>
      <c r="R409" s="171" t="str">
        <f>VI</f>
        <v>(25)</v>
      </c>
      <c r="S409" s="166"/>
      <c r="T409" s="54">
        <v>5731</v>
      </c>
      <c r="U409" s="55"/>
      <c r="V409" s="9"/>
      <c r="W409" s="57" t="str">
        <f>t</f>
        <v>TVO</v>
      </c>
      <c r="X409" s="57"/>
      <c r="Y409" s="58"/>
      <c r="Z409" s="58"/>
      <c r="AA409" s="58"/>
      <c r="AB409" s="224"/>
      <c r="AC409" s="30"/>
      <c r="AD409" s="184"/>
      <c r="AE409" s="184"/>
      <c r="AF409" s="640"/>
      <c r="AG409" s="640"/>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row>
    <row r="410" spans="1:92" s="652" customFormat="1" ht="12.75">
      <c r="A410" s="42">
        <v>193</v>
      </c>
      <c r="B410" s="653" t="s">
        <v>857</v>
      </c>
      <c r="C410" s="104" t="s">
        <v>858</v>
      </c>
      <c r="D410" s="44" t="s">
        <v>859</v>
      </c>
      <c r="E410" s="98">
        <f>TEC381190</f>
        <v>0.058</v>
      </c>
      <c r="F410" s="133"/>
      <c r="G410" s="194" t="s">
        <v>860</v>
      </c>
      <c r="H410" s="43" t="s">
        <v>861</v>
      </c>
      <c r="I410" s="44" t="s">
        <v>862</v>
      </c>
      <c r="J410" s="44" t="s">
        <v>863</v>
      </c>
      <c r="K410" s="654">
        <f>TEC381190</f>
        <v>0.058</v>
      </c>
      <c r="L410" s="133"/>
      <c r="M410" s="626">
        <f>TIARS</f>
        <v>63.96</v>
      </c>
      <c r="N410" s="627"/>
      <c r="O410" s="628" t="str">
        <f>P</f>
        <v>. . .</v>
      </c>
      <c r="P410" s="92" t="s">
        <v>864</v>
      </c>
      <c r="Q410" s="92" t="str">
        <f>VI</f>
        <v>(25)</v>
      </c>
      <c r="R410" s="171" t="str">
        <f>VI</f>
        <v>(25)</v>
      </c>
      <c r="S410" s="655"/>
      <c r="T410" s="656">
        <v>5730</v>
      </c>
      <c r="U410" s="158"/>
      <c r="V410" s="657"/>
      <c r="W410" s="160" t="str">
        <f>t</f>
        <v>TVO</v>
      </c>
      <c r="X410" s="160"/>
      <c r="Y410" s="161"/>
      <c r="Z410" s="161"/>
      <c r="AA410" s="58"/>
      <c r="AB410" s="224"/>
      <c r="AC410" s="633"/>
      <c r="AD410" s="184"/>
      <c r="AE410" s="184"/>
      <c r="AF410" s="640"/>
      <c r="AG410" s="640"/>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634"/>
      <c r="BI410" s="634"/>
      <c r="BJ410" s="634"/>
      <c r="BK410" s="634"/>
      <c r="BL410" s="634"/>
      <c r="BM410" s="634"/>
      <c r="BN410" s="634"/>
      <c r="BO410" s="634"/>
      <c r="BP410" s="634"/>
      <c r="BQ410" s="634"/>
      <c r="BR410" s="634"/>
      <c r="BS410" s="634"/>
      <c r="BT410" s="634"/>
      <c r="BU410" s="634"/>
      <c r="BV410" s="634"/>
      <c r="BW410" s="634"/>
      <c r="BX410" s="634"/>
      <c r="BY410" s="634"/>
      <c r="BZ410" s="634"/>
      <c r="CA410" s="634"/>
      <c r="CB410" s="634"/>
      <c r="CC410" s="634"/>
      <c r="CD410" s="634"/>
      <c r="CE410" s="634"/>
      <c r="CF410" s="634"/>
      <c r="CG410" s="634"/>
      <c r="CH410" s="634"/>
      <c r="CI410" s="634"/>
      <c r="CJ410" s="634"/>
      <c r="CK410" s="634"/>
      <c r="CL410" s="634"/>
      <c r="CM410" s="634"/>
      <c r="CN410" s="634"/>
    </row>
    <row r="411" spans="1:92" s="497" customFormat="1" ht="12.75">
      <c r="A411" s="42">
        <v>194</v>
      </c>
      <c r="B411" s="23" t="s">
        <v>865</v>
      </c>
      <c r="C411" s="104" t="s">
        <v>866</v>
      </c>
      <c r="D411" s="44"/>
      <c r="E411" s="98"/>
      <c r="F411" s="133"/>
      <c r="G411" s="435"/>
      <c r="H411" s="43"/>
      <c r="I411" s="44"/>
      <c r="J411" s="44"/>
      <c r="K411" s="469"/>
      <c r="L411" s="133"/>
      <c r="M411" s="152"/>
      <c r="N411" s="153"/>
      <c r="O411" s="154"/>
      <c r="P411" s="92"/>
      <c r="Q411" s="155"/>
      <c r="R411" s="156"/>
      <c r="S411" s="154"/>
      <c r="T411" s="54"/>
      <c r="U411" s="55"/>
      <c r="V411" s="56"/>
      <c r="W411" s="57"/>
      <c r="X411" s="57"/>
      <c r="Y411" s="58"/>
      <c r="Z411" s="58"/>
      <c r="AA411" s="161"/>
      <c r="AB411" s="224"/>
      <c r="AC411" s="30"/>
      <c r="AD411" s="184"/>
      <c r="AE411" s="148"/>
      <c r="AF411" s="640"/>
      <c r="AG411" s="640"/>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row>
    <row r="412" spans="1:92" s="497" customFormat="1" ht="12.75">
      <c r="A412" s="42"/>
      <c r="B412" s="658"/>
      <c r="C412" s="104" t="s">
        <v>867</v>
      </c>
      <c r="D412" s="44"/>
      <c r="E412" s="98"/>
      <c r="F412" s="133"/>
      <c r="G412" s="435"/>
      <c r="H412" s="43"/>
      <c r="I412" s="44"/>
      <c r="J412" s="44"/>
      <c r="K412" s="469"/>
      <c r="L412" s="133"/>
      <c r="M412" s="152"/>
      <c r="N412" s="153"/>
      <c r="O412" s="154"/>
      <c r="P412" s="92"/>
      <c r="Q412" s="155"/>
      <c r="R412" s="156"/>
      <c r="S412" s="154"/>
      <c r="T412" s="54"/>
      <c r="U412" s="55"/>
      <c r="V412" s="56"/>
      <c r="W412" s="57"/>
      <c r="X412" s="57"/>
      <c r="Y412" s="58"/>
      <c r="Z412" s="58"/>
      <c r="AA412" s="58"/>
      <c r="AB412" s="224"/>
      <c r="AC412" s="30"/>
      <c r="AD412" s="184"/>
      <c r="AE412" s="184"/>
      <c r="AF412" s="640"/>
      <c r="AG412" s="640"/>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row>
    <row r="413" spans="1:92" s="497" customFormat="1" ht="12.75">
      <c r="A413" s="42"/>
      <c r="B413" s="23"/>
      <c r="C413" s="104" t="s">
        <v>868</v>
      </c>
      <c r="D413" s="44"/>
      <c r="E413" s="98"/>
      <c r="F413" s="133"/>
      <c r="G413" s="435"/>
      <c r="H413" s="43"/>
      <c r="I413" s="44"/>
      <c r="J413" s="44"/>
      <c r="K413" s="469"/>
      <c r="L413" s="133"/>
      <c r="M413" s="152"/>
      <c r="N413" s="153"/>
      <c r="O413" s="154"/>
      <c r="P413" s="92"/>
      <c r="Q413" s="155"/>
      <c r="R413" s="156"/>
      <c r="S413" s="166"/>
      <c r="T413" s="157"/>
      <c r="U413" s="158"/>
      <c r="V413" s="159"/>
      <c r="W413" s="160"/>
      <c r="X413" s="160"/>
      <c r="Y413" s="161"/>
      <c r="Z413" s="161"/>
      <c r="AA413" s="161"/>
      <c r="AB413" s="224"/>
      <c r="AC413" s="30"/>
      <c r="AD413" s="184"/>
      <c r="AE413" s="148"/>
      <c r="AF413" s="640"/>
      <c r="AG413" s="640"/>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row>
    <row r="414" spans="1:92" s="652" customFormat="1" ht="12.75">
      <c r="A414" s="42"/>
      <c r="B414" s="23"/>
      <c r="C414" s="104" t="s">
        <v>869</v>
      </c>
      <c r="D414" s="44" t="s">
        <v>870</v>
      </c>
      <c r="E414" s="98">
        <f>TEC381190</f>
        <v>0.058</v>
      </c>
      <c r="F414" s="133"/>
      <c r="G414" s="194" t="s">
        <v>871</v>
      </c>
      <c r="H414" s="43" t="s">
        <v>872</v>
      </c>
      <c r="I414" s="44" t="s">
        <v>873</v>
      </c>
      <c r="J414" s="44" t="s">
        <v>874</v>
      </c>
      <c r="K414" s="469">
        <f>TEC381190</f>
        <v>0.058</v>
      </c>
      <c r="L414" s="133"/>
      <c r="M414" s="152">
        <f>TIARS</f>
        <v>63.96</v>
      </c>
      <c r="N414" s="153"/>
      <c r="O414" s="154" t="str">
        <f>P</f>
        <v>. . .</v>
      </c>
      <c r="P414" s="92" t="s">
        <v>875</v>
      </c>
      <c r="Q414" s="92" t="str">
        <f>VI</f>
        <v>(25)</v>
      </c>
      <c r="R414" s="171" t="str">
        <f>VI</f>
        <v>(25)</v>
      </c>
      <c r="S414" s="154"/>
      <c r="T414" s="157">
        <v>5730</v>
      </c>
      <c r="U414" s="158"/>
      <c r="V414" s="9"/>
      <c r="W414" s="160" t="str">
        <f>t</f>
        <v>TVO</v>
      </c>
      <c r="X414" s="160"/>
      <c r="Y414" s="161">
        <v>9109</v>
      </c>
      <c r="Z414" s="161"/>
      <c r="AA414" s="58"/>
      <c r="AB414" s="224"/>
      <c r="AC414" s="30"/>
      <c r="AD414" s="184"/>
      <c r="AE414" s="184"/>
      <c r="AF414" s="640"/>
      <c r="AG414" s="640"/>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row>
    <row r="415" spans="1:92" s="497" customFormat="1" ht="12.75">
      <c r="A415" s="42">
        <v>195</v>
      </c>
      <c r="B415" s="226" t="s">
        <v>876</v>
      </c>
      <c r="C415" s="104" t="s">
        <v>877</v>
      </c>
      <c r="D415" s="44" t="s">
        <v>878</v>
      </c>
      <c r="E415" s="98">
        <f>TEC381190</f>
        <v>0.058</v>
      </c>
      <c r="F415" s="133"/>
      <c r="G415" s="194"/>
      <c r="H415" s="43"/>
      <c r="I415" s="44" t="s">
        <v>879</v>
      </c>
      <c r="J415" s="44" t="s">
        <v>880</v>
      </c>
      <c r="K415" s="469">
        <f>TEC381190</f>
        <v>0.058</v>
      </c>
      <c r="L415" s="133"/>
      <c r="M415" s="152">
        <f>TIARS</f>
        <v>63.96</v>
      </c>
      <c r="N415" s="153"/>
      <c r="O415" s="154" t="str">
        <f>P</f>
        <v>. . .</v>
      </c>
      <c r="P415" s="92" t="s">
        <v>881</v>
      </c>
      <c r="Q415" s="92" t="str">
        <f>VI</f>
        <v>(25)</v>
      </c>
      <c r="R415" s="171" t="str">
        <f>VI</f>
        <v>(25)</v>
      </c>
      <c r="S415" s="166"/>
      <c r="T415" s="157">
        <v>5730</v>
      </c>
      <c r="U415" s="158"/>
      <c r="V415" s="9"/>
      <c r="W415" s="160" t="str">
        <f>t</f>
        <v>TVO</v>
      </c>
      <c r="X415" s="160"/>
      <c r="Y415" s="161"/>
      <c r="Z415" s="161"/>
      <c r="AA415" s="58"/>
      <c r="AB415" s="224"/>
      <c r="AC415" s="30"/>
      <c r="AD415" s="184"/>
      <c r="AE415" s="148"/>
      <c r="AF415" s="640"/>
      <c r="AG415" s="640"/>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row>
    <row r="416" spans="1:59" ht="12.75">
      <c r="A416" s="42"/>
      <c r="B416" s="563"/>
      <c r="C416" s="601" t="s">
        <v>882</v>
      </c>
      <c r="D416" s="659"/>
      <c r="E416" s="98"/>
      <c r="F416" s="23"/>
      <c r="G416" s="48"/>
      <c r="H416" s="417"/>
      <c r="I416" s="44"/>
      <c r="J416" s="155"/>
      <c r="K416" s="418"/>
      <c r="L416" s="419"/>
      <c r="M416" s="152"/>
      <c r="N416" s="420"/>
      <c r="O416" s="139"/>
      <c r="P416" s="275"/>
      <c r="Q416" s="137"/>
      <c r="R416" s="138"/>
      <c r="S416" s="154"/>
      <c r="T416" s="24"/>
      <c r="U416" s="25"/>
      <c r="V416" s="26"/>
      <c r="W416" s="27"/>
      <c r="X416" s="27"/>
      <c r="Y416" s="28"/>
      <c r="Z416" s="28"/>
      <c r="AA416" s="161"/>
      <c r="AB416" s="224"/>
      <c r="AC416" s="30"/>
      <c r="AD416" s="184"/>
      <c r="AE416" s="184"/>
      <c r="AF416" s="640"/>
      <c r="AG416" s="640"/>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row>
    <row r="417" spans="1:59" ht="12.75">
      <c r="A417" s="42"/>
      <c r="B417" s="563"/>
      <c r="C417" s="602" t="s">
        <v>883</v>
      </c>
      <c r="D417" s="659"/>
      <c r="E417" s="98"/>
      <c r="F417" s="23"/>
      <c r="G417" s="48"/>
      <c r="H417" s="417"/>
      <c r="I417" s="44"/>
      <c r="J417" s="155"/>
      <c r="K417" s="418"/>
      <c r="L417" s="419"/>
      <c r="M417" s="152"/>
      <c r="N417" s="420"/>
      <c r="O417" s="139"/>
      <c r="P417" s="275"/>
      <c r="Q417" s="137"/>
      <c r="R417" s="138"/>
      <c r="S417" s="166"/>
      <c r="T417" s="24"/>
      <c r="U417" s="25"/>
      <c r="V417" s="26"/>
      <c r="W417" s="27"/>
      <c r="X417" s="27"/>
      <c r="Y417" s="28"/>
      <c r="Z417" s="28"/>
      <c r="AA417" s="161"/>
      <c r="AB417" s="224"/>
      <c r="AC417" s="30"/>
      <c r="AD417" s="184"/>
      <c r="AE417" s="148"/>
      <c r="AF417" s="640"/>
      <c r="AG417" s="640"/>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row>
    <row r="418" spans="1:59" ht="12.75">
      <c r="A418" s="42"/>
      <c r="B418" s="563"/>
      <c r="C418" s="585"/>
      <c r="D418" s="659"/>
      <c r="E418" s="430"/>
      <c r="F418" s="660"/>
      <c r="G418" s="661"/>
      <c r="H418" s="662"/>
      <c r="I418" s="44"/>
      <c r="J418" s="155"/>
      <c r="K418" s="294"/>
      <c r="L418" s="663"/>
      <c r="M418" s="152"/>
      <c r="N418" s="420"/>
      <c r="O418" s="284"/>
      <c r="P418" s="275"/>
      <c r="Q418" s="137"/>
      <c r="R418" s="138"/>
      <c r="S418" s="166"/>
      <c r="T418" s="24"/>
      <c r="U418" s="25"/>
      <c r="V418" s="26"/>
      <c r="W418" s="27"/>
      <c r="X418" s="27"/>
      <c r="Y418" s="28"/>
      <c r="Z418" s="28"/>
      <c r="AA418" s="58"/>
      <c r="AB418" s="224"/>
      <c r="AC418" s="30"/>
      <c r="AD418" s="184"/>
      <c r="AE418" s="148"/>
      <c r="AF418" s="640"/>
      <c r="AG418" s="640"/>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row>
    <row r="419" spans="1:59" ht="12.75">
      <c r="A419" s="42">
        <v>196</v>
      </c>
      <c r="B419" s="563" t="s">
        <v>884</v>
      </c>
      <c r="C419" s="568" t="s">
        <v>885</v>
      </c>
      <c r="D419" s="45" t="s">
        <v>886</v>
      </c>
      <c r="E419" s="430">
        <f>TEC3817</f>
        <v>0.063</v>
      </c>
      <c r="F419" s="660"/>
      <c r="G419" s="661"/>
      <c r="H419" s="662"/>
      <c r="I419" s="44" t="str">
        <f>R</f>
        <v>Réelle</v>
      </c>
      <c r="J419" s="92" t="s">
        <v>887</v>
      </c>
      <c r="K419" s="664">
        <f>TEC3817</f>
        <v>0.063</v>
      </c>
      <c r="L419" s="663"/>
      <c r="M419" s="152" t="str">
        <f>"(9)"</f>
        <v>(9)</v>
      </c>
      <c r="N419" s="420"/>
      <c r="O419" s="665" t="str">
        <f>P</f>
        <v>. . .</v>
      </c>
      <c r="P419" s="92" t="s">
        <v>888</v>
      </c>
      <c r="Q419" s="92" t="str">
        <f>VI</f>
        <v>(25)</v>
      </c>
      <c r="R419" s="171" t="str">
        <f>VI</f>
        <v>(25)</v>
      </c>
      <c r="S419" s="154"/>
      <c r="W419" s="27" t="str">
        <f>t</f>
        <v>TVO</v>
      </c>
      <c r="X419" s="27"/>
      <c r="Y419" s="28">
        <v>4004</v>
      </c>
      <c r="Z419" s="28">
        <v>9348</v>
      </c>
      <c r="AA419" s="28"/>
      <c r="AB419" s="224"/>
      <c r="AC419" s="30"/>
      <c r="AD419" s="188"/>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row>
    <row r="420" spans="1:59" ht="12.75">
      <c r="A420" s="42"/>
      <c r="B420" s="563"/>
      <c r="C420" s="568" t="s">
        <v>889</v>
      </c>
      <c r="D420" s="45"/>
      <c r="E420" s="430"/>
      <c r="F420" s="660"/>
      <c r="G420" s="661"/>
      <c r="H420" s="662"/>
      <c r="I420" s="44"/>
      <c r="J420" s="92"/>
      <c r="K420" s="664"/>
      <c r="L420" s="663"/>
      <c r="M420" s="152"/>
      <c r="N420" s="420"/>
      <c r="O420" s="665"/>
      <c r="P420" s="92"/>
      <c r="Q420" s="92"/>
      <c r="R420" s="171"/>
      <c r="S420" s="666"/>
      <c r="W420" s="57"/>
      <c r="X420" s="57"/>
      <c r="Y420" s="58"/>
      <c r="Z420" s="58"/>
      <c r="AA420" s="28"/>
      <c r="AB420" s="224"/>
      <c r="AC420" s="30"/>
      <c r="AD420" s="188"/>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row>
    <row r="421" spans="1:59" ht="24" customHeight="1">
      <c r="A421" s="320">
        <v>197</v>
      </c>
      <c r="B421" s="321" t="s">
        <v>890</v>
      </c>
      <c r="C421" s="667" t="s">
        <v>891</v>
      </c>
      <c r="D421" s="44" t="s">
        <v>892</v>
      </c>
      <c r="E421" s="430">
        <f>TEC3817</f>
        <v>0.063</v>
      </c>
      <c r="F421" s="660"/>
      <c r="G421" s="668"/>
      <c r="H421" s="436"/>
      <c r="I421" s="44" t="str">
        <f>R</f>
        <v>Réelle</v>
      </c>
      <c r="J421" s="92" t="s">
        <v>893</v>
      </c>
      <c r="K421" s="669">
        <f>TEC3817</f>
        <v>0.063</v>
      </c>
      <c r="L421" s="670"/>
      <c r="M421" s="152" t="s">
        <v>894</v>
      </c>
      <c r="N421" s="420"/>
      <c r="O421" s="671">
        <f>TGAP</f>
        <v>3.811</v>
      </c>
      <c r="P421" s="92" t="s">
        <v>895</v>
      </c>
      <c r="Q421" s="92" t="str">
        <f>VI</f>
        <v>(25)</v>
      </c>
      <c r="R421" s="171" t="str">
        <f>VI</f>
        <v>(25)</v>
      </c>
      <c r="S421" s="666"/>
      <c r="T421" s="54">
        <v>5703</v>
      </c>
      <c r="U421" s="55" t="s">
        <v>896</v>
      </c>
      <c r="W421" s="27" t="str">
        <f>t</f>
        <v>TVO</v>
      </c>
      <c r="X421" s="27"/>
      <c r="Y421" s="28">
        <v>4004</v>
      </c>
      <c r="Z421" s="58">
        <v>9181</v>
      </c>
      <c r="AA421" s="28" t="s">
        <v>897</v>
      </c>
      <c r="AB421" s="224"/>
      <c r="AC421" s="30"/>
      <c r="AD421" s="188"/>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row>
    <row r="422" spans="1:92" s="672" customFormat="1" ht="12.75">
      <c r="A422" s="42">
        <v>198</v>
      </c>
      <c r="B422" s="23" t="s">
        <v>898</v>
      </c>
      <c r="C422" s="604" t="s">
        <v>899</v>
      </c>
      <c r="D422" s="45" t="s">
        <v>900</v>
      </c>
      <c r="E422" s="430">
        <f>TEC3817</f>
        <v>0.063</v>
      </c>
      <c r="F422" s="660"/>
      <c r="G422" s="661"/>
      <c r="H422" s="662"/>
      <c r="I422" s="44" t="str">
        <f>R</f>
        <v>Réelle</v>
      </c>
      <c r="J422" s="92" t="s">
        <v>901</v>
      </c>
      <c r="K422" s="664">
        <f>TEC3817</f>
        <v>0.063</v>
      </c>
      <c r="L422" s="663"/>
      <c r="M422" s="152" t="str">
        <f>"(9)"</f>
        <v>(9)</v>
      </c>
      <c r="N422" s="420"/>
      <c r="O422" s="665" t="str">
        <f>P</f>
        <v>. . .</v>
      </c>
      <c r="P422" s="92" t="s">
        <v>902</v>
      </c>
      <c r="Q422" s="92" t="str">
        <f>VI</f>
        <v>(25)</v>
      </c>
      <c r="R422" s="171" t="str">
        <f>VI</f>
        <v>(25)</v>
      </c>
      <c r="S422" s="666"/>
      <c r="T422" s="7"/>
      <c r="U422" s="8"/>
      <c r="V422" s="383"/>
      <c r="W422" s="27" t="str">
        <f>t</f>
        <v>TVO</v>
      </c>
      <c r="X422" s="27"/>
      <c r="Y422" s="28">
        <v>4004</v>
      </c>
      <c r="Z422" s="28"/>
      <c r="AA422" s="28"/>
      <c r="AB422" s="224"/>
      <c r="AC422" s="30"/>
      <c r="AD422" s="188"/>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row>
    <row r="423" spans="1:59" ht="12.75">
      <c r="A423" s="42"/>
      <c r="B423" s="563"/>
      <c r="C423" s="585"/>
      <c r="D423" s="45"/>
      <c r="E423" s="98"/>
      <c r="F423" s="23"/>
      <c r="G423" s="48"/>
      <c r="H423" s="417"/>
      <c r="I423" s="44"/>
      <c r="J423" s="92"/>
      <c r="K423" s="673"/>
      <c r="L423" s="419"/>
      <c r="M423" s="152"/>
      <c r="N423" s="420"/>
      <c r="O423" s="434"/>
      <c r="P423" s="92"/>
      <c r="Q423" s="92"/>
      <c r="R423" s="171"/>
      <c r="S423" s="666"/>
      <c r="W423" s="27"/>
      <c r="X423" s="27"/>
      <c r="Y423" s="28"/>
      <c r="Z423" s="28"/>
      <c r="AA423" s="58"/>
      <c r="AB423" s="224"/>
      <c r="AC423" s="30"/>
      <c r="AD423" s="188"/>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row>
    <row r="424" spans="1:59" ht="12.75">
      <c r="A424" s="42"/>
      <c r="B424" s="563"/>
      <c r="C424" s="585"/>
      <c r="D424" s="45"/>
      <c r="E424" s="98"/>
      <c r="F424" s="23"/>
      <c r="G424" s="48"/>
      <c r="H424" s="417"/>
      <c r="I424" s="44"/>
      <c r="J424" s="92"/>
      <c r="K424" s="673"/>
      <c r="L424" s="419"/>
      <c r="M424" s="152"/>
      <c r="N424" s="420"/>
      <c r="O424" s="434"/>
      <c r="P424" s="92"/>
      <c r="Q424" s="92"/>
      <c r="R424" s="171"/>
      <c r="S424" s="666"/>
      <c r="W424" s="57"/>
      <c r="X424" s="57"/>
      <c r="Y424" s="58"/>
      <c r="Z424" s="58"/>
      <c r="AA424" s="58"/>
      <c r="AB424" s="224"/>
      <c r="AC424" s="30"/>
      <c r="AD424" s="188"/>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row>
    <row r="425" spans="1:59" ht="12.75">
      <c r="A425" s="42"/>
      <c r="B425" s="563"/>
      <c r="C425" s="674" t="s">
        <v>903</v>
      </c>
      <c r="D425" s="659"/>
      <c r="E425" s="98"/>
      <c r="F425" s="23"/>
      <c r="G425" s="48"/>
      <c r="H425" s="417"/>
      <c r="I425" s="44"/>
      <c r="J425" s="155"/>
      <c r="K425" s="418"/>
      <c r="L425" s="419"/>
      <c r="M425" s="152"/>
      <c r="N425" s="420"/>
      <c r="O425" s="139"/>
      <c r="P425" s="275"/>
      <c r="Q425" s="137"/>
      <c r="R425" s="138"/>
      <c r="S425" s="154"/>
      <c r="T425" s="54"/>
      <c r="U425" s="55"/>
      <c r="V425" s="56"/>
      <c r="W425" s="27"/>
      <c r="X425" s="27"/>
      <c r="Y425" s="28"/>
      <c r="Z425" s="28"/>
      <c r="AA425" s="58"/>
      <c r="AB425" s="224"/>
      <c r="AC425" s="30"/>
      <c r="AD425" s="188"/>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row>
    <row r="426" spans="1:59" ht="12.75">
      <c r="A426" s="42"/>
      <c r="B426" s="563"/>
      <c r="C426" s="674"/>
      <c r="D426" s="659"/>
      <c r="E426" s="98"/>
      <c r="F426" s="23"/>
      <c r="G426" s="48"/>
      <c r="H426" s="417"/>
      <c r="I426" s="44"/>
      <c r="J426" s="155"/>
      <c r="K426" s="418"/>
      <c r="L426" s="419"/>
      <c r="M426" s="152"/>
      <c r="N426" s="675"/>
      <c r="O426" s="676"/>
      <c r="P426" s="275"/>
      <c r="Q426" s="137"/>
      <c r="R426" s="138"/>
      <c r="S426" s="154"/>
      <c r="T426" s="24"/>
      <c r="U426" s="25"/>
      <c r="V426" s="26"/>
      <c r="W426" s="27"/>
      <c r="X426" s="27"/>
      <c r="Y426" s="28"/>
      <c r="Z426" s="28"/>
      <c r="AA426" s="58"/>
      <c r="AB426" s="224"/>
      <c r="AC426" s="30"/>
      <c r="AD426" s="188"/>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row>
    <row r="427" spans="1:59" ht="30" customHeight="1">
      <c r="A427" s="320">
        <v>199</v>
      </c>
      <c r="B427" s="677" t="s">
        <v>904</v>
      </c>
      <c r="C427" s="678" t="s">
        <v>905</v>
      </c>
      <c r="D427" s="45" t="s">
        <v>906</v>
      </c>
      <c r="E427" s="98">
        <f>TEC38249095</f>
        <v>0.065</v>
      </c>
      <c r="F427" s="133"/>
      <c r="G427" s="429"/>
      <c r="H427" s="101"/>
      <c r="I427" s="92">
        <f>VFFOD</f>
        <v>24.98</v>
      </c>
      <c r="J427" s="44" t="s">
        <v>907</v>
      </c>
      <c r="K427" s="223">
        <f>ROUND(I427*TEC38249095,2)</f>
        <v>1.62</v>
      </c>
      <c r="L427" s="134"/>
      <c r="M427" s="152">
        <f>TIEEGsce</f>
        <v>1.8</v>
      </c>
      <c r="N427" s="166"/>
      <c r="O427" s="679" t="str">
        <f>P</f>
        <v>. . .</v>
      </c>
      <c r="P427" s="92" t="s">
        <v>908</v>
      </c>
      <c r="Q427" s="155">
        <f>SUM(I427:P427)*19.6%</f>
        <v>5.566400000000001</v>
      </c>
      <c r="R427" s="156">
        <f>SUM(I427:P427)*13%</f>
        <v>3.6920000000000006</v>
      </c>
      <c r="S427" s="154"/>
      <c r="T427" s="24">
        <v>5709</v>
      </c>
      <c r="U427" s="25"/>
      <c r="W427" s="195">
        <v>5939</v>
      </c>
      <c r="X427" s="195"/>
      <c r="Y427" s="28">
        <v>9309</v>
      </c>
      <c r="Z427" s="28"/>
      <c r="AA427" s="58"/>
      <c r="AB427" s="224"/>
      <c r="AC427" s="30"/>
      <c r="AD427" s="188"/>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row>
    <row r="428" spans="1:59" ht="12.75">
      <c r="A428" s="42"/>
      <c r="B428" s="262"/>
      <c r="C428" s="680"/>
      <c r="D428" s="45"/>
      <c r="E428" s="98"/>
      <c r="F428" s="133"/>
      <c r="G428" s="429"/>
      <c r="H428" s="101"/>
      <c r="I428" s="44"/>
      <c r="J428" s="44"/>
      <c r="K428" s="225"/>
      <c r="L428" s="134"/>
      <c r="M428" s="152"/>
      <c r="N428" s="166"/>
      <c r="O428" s="92"/>
      <c r="P428" s="92"/>
      <c r="Q428" s="155"/>
      <c r="R428" s="156"/>
      <c r="S428" s="154"/>
      <c r="T428" s="24"/>
      <c r="U428" s="25"/>
      <c r="W428" s="27"/>
      <c r="X428" s="27"/>
      <c r="Y428" s="28"/>
      <c r="Z428" s="28"/>
      <c r="AA428" s="28"/>
      <c r="AB428" s="224"/>
      <c r="AC428" s="30"/>
      <c r="AD428" s="188"/>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row>
    <row r="429" spans="1:59" ht="27">
      <c r="A429" s="320">
        <v>200</v>
      </c>
      <c r="B429" s="681" t="s">
        <v>909</v>
      </c>
      <c r="C429" s="680" t="s">
        <v>910</v>
      </c>
      <c r="D429" s="45" t="s">
        <v>911</v>
      </c>
      <c r="E429" s="98">
        <f>TEC38249095</f>
        <v>0.065</v>
      </c>
      <c r="F429" s="136"/>
      <c r="G429" s="89"/>
      <c r="H429" s="101"/>
      <c r="I429" s="92">
        <f>VFGO</f>
        <v>26.37</v>
      </c>
      <c r="J429" s="44" t="s">
        <v>912</v>
      </c>
      <c r="K429" s="223">
        <f>ROUND(I429*TEC38249095,2)</f>
        <v>1.71</v>
      </c>
      <c r="L429" s="682"/>
      <c r="M429" s="166">
        <f>TIEEGcarb</f>
        <v>24.54</v>
      </c>
      <c r="N429" s="166"/>
      <c r="O429" s="679" t="str">
        <f>P</f>
        <v>. . .</v>
      </c>
      <c r="P429" s="92" t="s">
        <v>913</v>
      </c>
      <c r="Q429" s="155">
        <f>SUM(I429:P429)*19.6%</f>
        <v>10.31352</v>
      </c>
      <c r="R429" s="156">
        <f>SUM(I429:P429)*13%</f>
        <v>6.840600000000001</v>
      </c>
      <c r="S429" s="154"/>
      <c r="T429" s="683">
        <v>5718</v>
      </c>
      <c r="U429" s="684"/>
      <c r="W429" s="685">
        <v>5940</v>
      </c>
      <c r="X429" s="685"/>
      <c r="Y429" s="686">
        <v>9309</v>
      </c>
      <c r="Z429" s="28"/>
      <c r="AA429" s="28"/>
      <c r="AB429" s="224"/>
      <c r="AC429" s="30"/>
      <c r="AD429" s="184"/>
      <c r="AE429" s="184"/>
      <c r="AF429" s="640"/>
      <c r="AG429" s="640"/>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row>
    <row r="430" spans="1:59" ht="12.75">
      <c r="A430" s="42"/>
      <c r="B430" s="262"/>
      <c r="C430" s="687"/>
      <c r="D430" s="45"/>
      <c r="E430" s="98"/>
      <c r="F430" s="133"/>
      <c r="G430" s="429"/>
      <c r="H430" s="101"/>
      <c r="I430" s="44"/>
      <c r="J430" s="44"/>
      <c r="K430" s="225"/>
      <c r="L430" s="134"/>
      <c r="M430" s="152"/>
      <c r="N430" s="166"/>
      <c r="O430" s="92"/>
      <c r="P430" s="92"/>
      <c r="Q430" s="155"/>
      <c r="R430" s="156"/>
      <c r="S430" s="261"/>
      <c r="T430" s="157"/>
      <c r="U430" s="158"/>
      <c r="V430" s="159"/>
      <c r="W430" s="160"/>
      <c r="X430" s="160"/>
      <c r="Y430" s="161"/>
      <c r="Z430" s="161"/>
      <c r="AA430" s="28"/>
      <c r="AB430" s="224"/>
      <c r="AC430" s="30"/>
      <c r="AD430" s="188"/>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row>
    <row r="431" spans="1:59" ht="33" customHeight="1">
      <c r="A431" s="688">
        <v>201</v>
      </c>
      <c r="B431" s="689" t="s">
        <v>914</v>
      </c>
      <c r="C431" s="690" t="s">
        <v>915</v>
      </c>
      <c r="D431" s="200" t="s">
        <v>916</v>
      </c>
      <c r="E431" s="201">
        <f>TEC38249095</f>
        <v>0.065</v>
      </c>
      <c r="F431" s="202"/>
      <c r="G431" s="691" t="s">
        <v>917</v>
      </c>
      <c r="H431" s="692" t="s">
        <v>918</v>
      </c>
      <c r="I431" s="210">
        <f>VFGO</f>
        <v>26.37</v>
      </c>
      <c r="J431" s="205" t="s">
        <v>919</v>
      </c>
      <c r="K431" s="394">
        <f>ROUND(I431*TEC38249095,2)</f>
        <v>1.71</v>
      </c>
      <c r="L431" s="206"/>
      <c r="M431" s="207" t="s">
        <v>920</v>
      </c>
      <c r="N431" s="208"/>
      <c r="O431" s="693" t="str">
        <f>P</f>
        <v>. . .</v>
      </c>
      <c r="P431" s="210" t="s">
        <v>921</v>
      </c>
      <c r="Q431" s="490">
        <f>SUM(I431:P431)*19.6%</f>
        <v>5.503680000000001</v>
      </c>
      <c r="R431" s="554">
        <f>SUM(I431:P431)*13%</f>
        <v>3.6504000000000003</v>
      </c>
      <c r="S431" s="666"/>
      <c r="W431" s="167">
        <v>5941</v>
      </c>
      <c r="X431" s="167"/>
      <c r="Y431" s="161">
        <v>9309</v>
      </c>
      <c r="Z431" s="161">
        <v>4012</v>
      </c>
      <c r="AA431" s="28"/>
      <c r="AB431" s="224"/>
      <c r="AC431" s="30"/>
      <c r="AD431" s="184"/>
      <c r="AE431" s="148"/>
      <c r="AF431" s="640"/>
      <c r="AG431" s="640"/>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row>
    <row r="432" spans="1:59" ht="12.75">
      <c r="A432" s="73"/>
      <c r="B432" s="262"/>
      <c r="C432" s="694"/>
      <c r="D432" s="262"/>
      <c r="E432" s="98"/>
      <c r="F432" s="133"/>
      <c r="G432" s="431"/>
      <c r="H432" s="101"/>
      <c r="I432" s="154"/>
      <c r="J432" s="43"/>
      <c r="K432" s="223"/>
      <c r="L432" s="134"/>
      <c r="M432" s="166"/>
      <c r="N432" s="166"/>
      <c r="O432" s="154"/>
      <c r="P432" s="154"/>
      <c r="Q432" s="166"/>
      <c r="R432" s="166"/>
      <c r="S432" s="695"/>
      <c r="T432" s="157"/>
      <c r="U432" s="158"/>
      <c r="V432" s="159"/>
      <c r="W432" s="160"/>
      <c r="X432" s="160"/>
      <c r="Y432" s="161"/>
      <c r="Z432" s="161"/>
      <c r="AA432" s="28"/>
      <c r="AB432" s="224"/>
      <c r="AC432" s="30"/>
      <c r="AD432" s="184"/>
      <c r="AE432" s="148"/>
      <c r="AF432" s="640"/>
      <c r="AG432" s="640"/>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row>
    <row r="433" spans="1:59" ht="12.75">
      <c r="A433" s="73"/>
      <c r="B433" s="262"/>
      <c r="C433" s="694"/>
      <c r="D433" s="542"/>
      <c r="E433" s="696"/>
      <c r="F433" s="542"/>
      <c r="G433" s="697"/>
      <c r="H433" s="697"/>
      <c r="I433" s="542"/>
      <c r="J433" s="542"/>
      <c r="K433" s="698"/>
      <c r="L433" s="698"/>
      <c r="M433" s="6"/>
      <c r="N433" s="6"/>
      <c r="O433" s="6"/>
      <c r="P433" s="6"/>
      <c r="Q433" s="6"/>
      <c r="R433" s="6"/>
      <c r="S433" s="666"/>
      <c r="AA433" s="161"/>
      <c r="AB433" s="224"/>
      <c r="AC433" s="30"/>
      <c r="AD433" s="184"/>
      <c r="AE433" s="184"/>
      <c r="AF433" s="640"/>
      <c r="AG433" s="640"/>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row>
    <row r="434" spans="1:59" ht="12.75">
      <c r="A434" s="73"/>
      <c r="B434" s="262"/>
      <c r="C434" s="699"/>
      <c r="D434" s="262"/>
      <c r="E434" s="463"/>
      <c r="F434" s="41"/>
      <c r="G434" s="700"/>
      <c r="H434" s="327"/>
      <c r="I434" s="41"/>
      <c r="J434" s="41"/>
      <c r="K434" s="404"/>
      <c r="L434" s="404"/>
      <c r="M434" s="41"/>
      <c r="N434" s="41"/>
      <c r="O434" s="139"/>
      <c r="P434" s="41"/>
      <c r="Q434" s="147"/>
      <c r="R434" s="147"/>
      <c r="T434" s="157"/>
      <c r="U434" s="158"/>
      <c r="V434" s="159"/>
      <c r="W434" s="160"/>
      <c r="X434" s="160"/>
      <c r="Y434" s="161"/>
      <c r="Z434" s="161"/>
      <c r="AA434" s="161"/>
      <c r="AB434" s="224"/>
      <c r="AC434" s="30"/>
      <c r="AD434" s="184"/>
      <c r="AE434" s="184"/>
      <c r="AF434" s="640"/>
      <c r="AG434" s="640"/>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row>
    <row r="435" spans="1:59" ht="12.75">
      <c r="A435" s="542"/>
      <c r="B435" s="542"/>
      <c r="C435" s="542"/>
      <c r="D435" s="262"/>
      <c r="E435" s="324"/>
      <c r="F435" s="133"/>
      <c r="G435" s="431"/>
      <c r="H435" s="101"/>
      <c r="I435" s="43"/>
      <c r="J435" s="43"/>
      <c r="K435" s="330"/>
      <c r="L435" s="134"/>
      <c r="M435" s="166"/>
      <c r="N435" s="166"/>
      <c r="O435" s="154"/>
      <c r="P435" s="154"/>
      <c r="Q435" s="166"/>
      <c r="R435" s="166"/>
      <c r="S435" s="166"/>
      <c r="T435" s="157"/>
      <c r="U435" s="158"/>
      <c r="V435" s="159"/>
      <c r="W435" s="160"/>
      <c r="X435" s="160"/>
      <c r="Y435" s="161"/>
      <c r="Z435" s="161"/>
      <c r="AA435" s="161"/>
      <c r="AB435" s="224"/>
      <c r="AC435" s="30"/>
      <c r="AD435" s="184"/>
      <c r="AE435" s="184"/>
      <c r="AF435" s="640"/>
      <c r="AG435" s="640"/>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row>
    <row r="436" spans="1:59" ht="12.75">
      <c r="A436" s="701"/>
      <c r="B436" s="702"/>
      <c r="C436" s="694"/>
      <c r="D436" s="262"/>
      <c r="E436" s="324"/>
      <c r="F436" s="133"/>
      <c r="G436" s="431"/>
      <c r="H436" s="101"/>
      <c r="I436" s="43"/>
      <c r="J436" s="43"/>
      <c r="K436" s="330"/>
      <c r="L436" s="134"/>
      <c r="M436" s="166"/>
      <c r="N436" s="166"/>
      <c r="O436" s="154"/>
      <c r="P436" s="154"/>
      <c r="Q436" s="166"/>
      <c r="R436" s="166"/>
      <c r="S436" s="166"/>
      <c r="T436" s="353"/>
      <c r="U436" s="354"/>
      <c r="AB436" s="224"/>
      <c r="AC436" s="30"/>
      <c r="AD436" s="184"/>
      <c r="AE436" s="184"/>
      <c r="AF436" s="640"/>
      <c r="AG436" s="640"/>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row>
    <row r="437" spans="1:59" ht="12.75">
      <c r="A437" s="681"/>
      <c r="B437" s="703"/>
      <c r="C437" s="694"/>
      <c r="D437" s="542"/>
      <c r="E437" s="696"/>
      <c r="F437" s="542"/>
      <c r="G437" s="697"/>
      <c r="H437" s="697"/>
      <c r="I437" s="542"/>
      <c r="J437" s="542"/>
      <c r="K437" s="698"/>
      <c r="L437" s="698"/>
      <c r="M437" s="6"/>
      <c r="N437" s="6"/>
      <c r="O437" s="6"/>
      <c r="P437" s="6"/>
      <c r="Q437" s="6"/>
      <c r="R437" s="6"/>
      <c r="S437" s="166"/>
      <c r="W437" s="160"/>
      <c r="X437" s="160"/>
      <c r="Y437" s="161"/>
      <c r="Z437" s="161"/>
      <c r="AA437" s="161"/>
      <c r="AB437" s="224"/>
      <c r="AC437" s="30"/>
      <c r="AD437" s="184"/>
      <c r="AE437" s="184"/>
      <c r="AF437" s="640"/>
      <c r="AG437" s="640"/>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row>
    <row r="438" spans="1:59" ht="12.75">
      <c r="A438" s="262"/>
      <c r="B438" s="703"/>
      <c r="C438" s="699"/>
      <c r="D438" s="681"/>
      <c r="E438" s="324"/>
      <c r="F438" s="325"/>
      <c r="G438" s="700"/>
      <c r="H438" s="700"/>
      <c r="I438" s="334"/>
      <c r="J438" s="73"/>
      <c r="K438" s="330"/>
      <c r="L438" s="331"/>
      <c r="M438" s="704"/>
      <c r="N438" s="704"/>
      <c r="O438" s="334"/>
      <c r="P438" s="334"/>
      <c r="Q438" s="73"/>
      <c r="R438" s="704"/>
      <c r="T438" s="491"/>
      <c r="U438" s="492"/>
      <c r="V438" s="159"/>
      <c r="W438" s="160"/>
      <c r="X438" s="160"/>
      <c r="Y438" s="161"/>
      <c r="Z438" s="161"/>
      <c r="AA438" s="161"/>
      <c r="AB438" s="224"/>
      <c r="AC438" s="30"/>
      <c r="AD438" s="184"/>
      <c r="AE438" s="184"/>
      <c r="AF438" s="640"/>
      <c r="AG438" s="640"/>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row>
    <row r="439" spans="1:59" ht="12.75">
      <c r="A439" s="681"/>
      <c r="B439" s="703"/>
      <c r="C439" s="699"/>
      <c r="D439" s="681"/>
      <c r="E439" s="324"/>
      <c r="F439" s="325"/>
      <c r="G439" s="700"/>
      <c r="H439" s="700"/>
      <c r="I439" s="334"/>
      <c r="J439" s="73"/>
      <c r="K439" s="330"/>
      <c r="L439" s="331"/>
      <c r="M439" s="704"/>
      <c r="N439" s="704"/>
      <c r="O439" s="334"/>
      <c r="P439" s="334"/>
      <c r="Q439" s="73"/>
      <c r="R439" s="704"/>
      <c r="S439" s="166"/>
      <c r="T439" s="705"/>
      <c r="U439" s="706"/>
      <c r="V439" s="339"/>
      <c r="W439" s="707"/>
      <c r="X439" s="707"/>
      <c r="Y439" s="342"/>
      <c r="Z439" s="342"/>
      <c r="AB439" s="224"/>
      <c r="AC439" s="30"/>
      <c r="AD439" s="184"/>
      <c r="AE439" s="184"/>
      <c r="AF439" s="640"/>
      <c r="AG439" s="640"/>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row>
    <row r="440" spans="1:59" ht="12.75">
      <c r="A440" s="681"/>
      <c r="B440" s="703"/>
      <c r="C440" s="699"/>
      <c r="D440" s="681"/>
      <c r="E440" s="324"/>
      <c r="F440" s="325"/>
      <c r="G440" s="700"/>
      <c r="H440" s="700"/>
      <c r="I440" s="334"/>
      <c r="J440" s="73"/>
      <c r="K440" s="330"/>
      <c r="L440" s="331"/>
      <c r="M440" s="704"/>
      <c r="N440" s="704"/>
      <c r="O440" s="334"/>
      <c r="P440" s="334"/>
      <c r="Q440" s="73"/>
      <c r="R440" s="704"/>
      <c r="S440" s="166"/>
      <c r="T440" s="705"/>
      <c r="U440" s="706"/>
      <c r="V440" s="339"/>
      <c r="W440" s="707"/>
      <c r="X440" s="707"/>
      <c r="Y440" s="342"/>
      <c r="Z440" s="342"/>
      <c r="AA440" s="161"/>
      <c r="AB440" s="224"/>
      <c r="AC440" s="224"/>
      <c r="AD440" s="184"/>
      <c r="AE440" s="184"/>
      <c r="AF440" s="640"/>
      <c r="AG440" s="640"/>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row>
    <row r="441" spans="1:59" ht="12.75">
      <c r="A441" s="681"/>
      <c r="B441" s="703"/>
      <c r="C441" s="699"/>
      <c r="D441" s="681"/>
      <c r="E441" s="324"/>
      <c r="F441" s="325"/>
      <c r="G441" s="700"/>
      <c r="H441" s="700"/>
      <c r="I441" s="334"/>
      <c r="J441" s="73"/>
      <c r="K441" s="330"/>
      <c r="L441" s="331"/>
      <c r="M441" s="704"/>
      <c r="N441" s="704"/>
      <c r="O441" s="334"/>
      <c r="P441" s="334"/>
      <c r="Q441" s="73"/>
      <c r="R441" s="704"/>
      <c r="S441" s="41"/>
      <c r="T441" s="705"/>
      <c r="U441" s="706"/>
      <c r="V441" s="339"/>
      <c r="W441" s="707"/>
      <c r="X441" s="707"/>
      <c r="Y441" s="342"/>
      <c r="Z441" s="342"/>
      <c r="AA441" s="161"/>
      <c r="AB441" s="29"/>
      <c r="AC441" s="224"/>
      <c r="AD441" s="184"/>
      <c r="AE441" s="184"/>
      <c r="AF441" s="640"/>
      <c r="AG441" s="640"/>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row>
    <row r="442" spans="1:59" ht="12.75">
      <c r="A442" s="681"/>
      <c r="B442" s="703"/>
      <c r="C442" s="699"/>
      <c r="D442" s="681"/>
      <c r="E442" s="324"/>
      <c r="F442" s="325"/>
      <c r="G442" s="700"/>
      <c r="H442" s="700"/>
      <c r="I442" s="334"/>
      <c r="J442" s="73"/>
      <c r="K442" s="330"/>
      <c r="L442" s="331"/>
      <c r="M442" s="704"/>
      <c r="N442" s="704"/>
      <c r="O442" s="334"/>
      <c r="P442" s="334"/>
      <c r="Q442" s="73"/>
      <c r="R442" s="704"/>
      <c r="S442" s="166"/>
      <c r="T442" s="705"/>
      <c r="U442" s="706"/>
      <c r="V442" s="339"/>
      <c r="W442" s="707"/>
      <c r="X442" s="707"/>
      <c r="Y442" s="342"/>
      <c r="Z442" s="342"/>
      <c r="AA442" s="342"/>
      <c r="AB442" s="479"/>
      <c r="AC442" s="224"/>
      <c r="AD442" s="139"/>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row>
    <row r="443" spans="1:60" ht="12.75">
      <c r="A443" s="681"/>
      <c r="B443" s="703"/>
      <c r="C443" s="699"/>
      <c r="D443" s="681"/>
      <c r="E443" s="324"/>
      <c r="F443" s="325"/>
      <c r="G443" s="700"/>
      <c r="H443" s="700"/>
      <c r="I443" s="334"/>
      <c r="J443" s="73"/>
      <c r="K443" s="330"/>
      <c r="L443" s="331"/>
      <c r="M443" s="704"/>
      <c r="N443" s="704"/>
      <c r="O443" s="334"/>
      <c r="P443" s="334"/>
      <c r="Q443" s="73"/>
      <c r="R443" s="704"/>
      <c r="S443" s="704"/>
      <c r="T443" s="705"/>
      <c r="U443" s="706"/>
      <c r="V443" s="339"/>
      <c r="W443" s="707"/>
      <c r="X443" s="707"/>
      <c r="Y443" s="342"/>
      <c r="Z443" s="342"/>
      <c r="AA443" s="342"/>
      <c r="AB443" s="479"/>
      <c r="AC443" s="224"/>
      <c r="AD443" s="30"/>
      <c r="AE443" s="139"/>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row>
    <row r="444" spans="1:60" ht="12.75">
      <c r="A444" s="681"/>
      <c r="B444" s="703"/>
      <c r="C444" s="699"/>
      <c r="D444" s="681"/>
      <c r="E444" s="324"/>
      <c r="F444" s="325"/>
      <c r="G444" s="700"/>
      <c r="H444" s="700"/>
      <c r="I444" s="334"/>
      <c r="J444" s="73"/>
      <c r="K444" s="330"/>
      <c r="L444" s="331"/>
      <c r="M444" s="704"/>
      <c r="N444" s="704"/>
      <c r="O444" s="334"/>
      <c r="P444" s="334"/>
      <c r="Q444" s="73"/>
      <c r="R444" s="704"/>
      <c r="S444" s="704"/>
      <c r="T444" s="705"/>
      <c r="U444" s="706"/>
      <c r="V444" s="339"/>
      <c r="W444" s="707"/>
      <c r="X444" s="707"/>
      <c r="Y444" s="342"/>
      <c r="Z444" s="342"/>
      <c r="AA444" s="342"/>
      <c r="AB444" s="479"/>
      <c r="AC444" s="224"/>
      <c r="AD444" s="30"/>
      <c r="AE444" s="139"/>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row>
    <row r="445" spans="1:60" ht="12.75">
      <c r="A445" s="681"/>
      <c r="B445" s="703"/>
      <c r="C445" s="699"/>
      <c r="D445" s="681"/>
      <c r="E445" s="324"/>
      <c r="F445" s="325"/>
      <c r="G445" s="700"/>
      <c r="H445" s="700"/>
      <c r="I445" s="334"/>
      <c r="J445" s="73"/>
      <c r="K445" s="330"/>
      <c r="L445" s="331"/>
      <c r="M445" s="704"/>
      <c r="N445" s="704"/>
      <c r="O445" s="334"/>
      <c r="P445" s="334"/>
      <c r="Q445" s="73"/>
      <c r="R445" s="704"/>
      <c r="S445" s="704"/>
      <c r="T445" s="705"/>
      <c r="U445" s="706"/>
      <c r="V445" s="339"/>
      <c r="W445" s="707"/>
      <c r="X445" s="707"/>
      <c r="Y445" s="342"/>
      <c r="Z445" s="342"/>
      <c r="AA445" s="342"/>
      <c r="AB445" s="479"/>
      <c r="AC445" s="224"/>
      <c r="AD445" s="30"/>
      <c r="AE445" s="139"/>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row>
    <row r="446" spans="1:60" ht="12.75">
      <c r="A446" s="681"/>
      <c r="B446" s="703"/>
      <c r="C446" s="699"/>
      <c r="D446" s="681"/>
      <c r="E446" s="324"/>
      <c r="F446" s="325"/>
      <c r="G446" s="700"/>
      <c r="H446" s="700"/>
      <c r="I446" s="334"/>
      <c r="J446" s="73"/>
      <c r="K446" s="330"/>
      <c r="L446" s="331"/>
      <c r="M446" s="704"/>
      <c r="N446" s="704"/>
      <c r="O446" s="334"/>
      <c r="P446" s="334"/>
      <c r="Q446" s="73"/>
      <c r="R446" s="704"/>
      <c r="S446" s="704"/>
      <c r="T446" s="705"/>
      <c r="U446" s="706"/>
      <c r="V446" s="339"/>
      <c r="W446" s="707"/>
      <c r="X446" s="707"/>
      <c r="Y446" s="342"/>
      <c r="Z446" s="342"/>
      <c r="AA446" s="342"/>
      <c r="AB446" s="479"/>
      <c r="AC446" s="224"/>
      <c r="AD446" s="30"/>
      <c r="AE446" s="708"/>
      <c r="AF446" s="709"/>
      <c r="AG446" s="709"/>
      <c r="AH446" s="709"/>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row>
    <row r="447" spans="1:60" ht="12.75">
      <c r="A447" s="681"/>
      <c r="B447" s="703"/>
      <c r="C447" s="699"/>
      <c r="D447" s="681"/>
      <c r="E447" s="324"/>
      <c r="F447" s="325"/>
      <c r="G447" s="700"/>
      <c r="H447" s="700"/>
      <c r="I447" s="334"/>
      <c r="J447" s="73"/>
      <c r="K447" s="330"/>
      <c r="L447" s="331"/>
      <c r="M447" s="704"/>
      <c r="N447" s="704"/>
      <c r="O447" s="334"/>
      <c r="P447" s="334"/>
      <c r="Q447" s="73"/>
      <c r="R447" s="704"/>
      <c r="S447" s="704"/>
      <c r="T447" s="705"/>
      <c r="U447" s="706"/>
      <c r="V447" s="339"/>
      <c r="W447" s="707"/>
      <c r="X447" s="707"/>
      <c r="Y447" s="342"/>
      <c r="Z447" s="342"/>
      <c r="AA447" s="342"/>
      <c r="AB447" s="479"/>
      <c r="AC447" s="224"/>
      <c r="AD447" s="30"/>
      <c r="AE447" s="710"/>
      <c r="AF447" s="711"/>
      <c r="AG447" s="711"/>
      <c r="AH447" s="71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row>
    <row r="448" spans="1:60" ht="12.75">
      <c r="A448" s="681"/>
      <c r="B448" s="703"/>
      <c r="C448" s="699"/>
      <c r="D448" s="681"/>
      <c r="E448" s="324"/>
      <c r="F448" s="325"/>
      <c r="G448" s="700"/>
      <c r="H448" s="700"/>
      <c r="I448" s="334"/>
      <c r="J448" s="73"/>
      <c r="K448" s="330"/>
      <c r="L448" s="331"/>
      <c r="M448" s="704"/>
      <c r="N448" s="704"/>
      <c r="O448" s="334"/>
      <c r="P448" s="334"/>
      <c r="Q448" s="73"/>
      <c r="R448" s="704"/>
      <c r="S448" s="704"/>
      <c r="T448" s="705"/>
      <c r="U448" s="706"/>
      <c r="V448" s="339"/>
      <c r="W448" s="707"/>
      <c r="X448" s="707"/>
      <c r="Y448" s="342"/>
      <c r="Z448" s="342"/>
      <c r="AA448" s="342"/>
      <c r="AB448" s="479"/>
      <c r="AC448" s="224"/>
      <c r="AD448" s="712" t="s">
        <v>922</v>
      </c>
      <c r="AE448" s="713" t="s">
        <v>923</v>
      </c>
      <c r="AF448" s="713" t="s">
        <v>924</v>
      </c>
      <c r="AG448" s="777" t="s">
        <v>925</v>
      </c>
      <c r="AH448" s="777"/>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row>
    <row r="449" spans="1:60" ht="12.75">
      <c r="A449" s="681"/>
      <c r="B449" s="703"/>
      <c r="C449" s="699"/>
      <c r="D449" s="681"/>
      <c r="E449" s="324"/>
      <c r="F449" s="325"/>
      <c r="G449" s="700"/>
      <c r="H449" s="700"/>
      <c r="I449" s="334"/>
      <c r="J449" s="73"/>
      <c r="K449" s="330"/>
      <c r="L449" s="331"/>
      <c r="M449" s="704"/>
      <c r="N449" s="704"/>
      <c r="O449" s="334"/>
      <c r="P449" s="334"/>
      <c r="Q449" s="73"/>
      <c r="R449" s="704"/>
      <c r="S449" s="704"/>
      <c r="T449" s="705"/>
      <c r="U449" s="706"/>
      <c r="V449" s="339"/>
      <c r="W449" s="707"/>
      <c r="X449" s="707"/>
      <c r="Y449" s="342"/>
      <c r="Z449" s="342"/>
      <c r="AA449" s="342"/>
      <c r="AB449" s="479"/>
      <c r="AC449" s="224"/>
      <c r="AD449" s="714" t="s">
        <v>926</v>
      </c>
      <c r="AE449" s="715" t="s">
        <v>927</v>
      </c>
      <c r="AF449" s="715" t="s">
        <v>928</v>
      </c>
      <c r="AG449" s="716" t="s">
        <v>929</v>
      </c>
      <c r="AH449" s="717" t="s">
        <v>930</v>
      </c>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row>
    <row r="450" spans="1:60" ht="21" customHeight="1">
      <c r="A450" s="681"/>
      <c r="B450" s="703"/>
      <c r="C450" s="699"/>
      <c r="D450" s="681"/>
      <c r="E450" s="324"/>
      <c r="F450" s="325"/>
      <c r="G450" s="700"/>
      <c r="H450" s="700"/>
      <c r="I450" s="334"/>
      <c r="J450" s="73"/>
      <c r="K450" s="330"/>
      <c r="L450" s="331"/>
      <c r="M450" s="704"/>
      <c r="N450" s="704"/>
      <c r="O450" s="334"/>
      <c r="P450" s="334"/>
      <c r="Q450" s="73"/>
      <c r="R450" s="704"/>
      <c r="S450" s="704"/>
      <c r="T450" s="705"/>
      <c r="U450" s="706"/>
      <c r="V450" s="339"/>
      <c r="W450" s="707"/>
      <c r="X450" s="707"/>
      <c r="Y450" s="342"/>
      <c r="Z450" s="342"/>
      <c r="AA450" s="342"/>
      <c r="AB450" s="479"/>
      <c r="AC450" s="224"/>
      <c r="AD450" s="718" t="s">
        <v>931</v>
      </c>
      <c r="AE450" s="719" t="s">
        <v>932</v>
      </c>
      <c r="AF450" s="716" t="s">
        <v>933</v>
      </c>
      <c r="AG450" s="720">
        <f>VFEA*19.6%</f>
        <v>5.38804</v>
      </c>
      <c r="AH450" s="721">
        <f>VFEA*13%</f>
        <v>3.5737</v>
      </c>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row>
    <row r="451" spans="1:60" ht="12.75">
      <c r="A451" s="681"/>
      <c r="B451" s="703"/>
      <c r="C451" s="699"/>
      <c r="D451" s="681"/>
      <c r="E451" s="324"/>
      <c r="F451" s="325"/>
      <c r="G451" s="700"/>
      <c r="H451" s="700"/>
      <c r="I451" s="334"/>
      <c r="J451" s="73"/>
      <c r="K451" s="330"/>
      <c r="L451" s="331"/>
      <c r="M451" s="704"/>
      <c r="N451" s="704"/>
      <c r="O451" s="334"/>
      <c r="P451" s="334"/>
      <c r="Q451" s="73"/>
      <c r="R451" s="704"/>
      <c r="S451" s="704"/>
      <c r="T451" s="705"/>
      <c r="U451" s="706"/>
      <c r="V451" s="339"/>
      <c r="W451" s="707"/>
      <c r="X451" s="707"/>
      <c r="Y451" s="342"/>
      <c r="Z451" s="342"/>
      <c r="AA451" s="342"/>
      <c r="AB451" s="479"/>
      <c r="AC451" s="224"/>
      <c r="AD451" s="722" t="s">
        <v>934</v>
      </c>
      <c r="AE451" s="713" t="s">
        <v>935</v>
      </c>
      <c r="AF451" s="713" t="s">
        <v>936</v>
      </c>
      <c r="AG451" s="712">
        <f>VFCB*19.6%</f>
        <v>5.2351600000000005</v>
      </c>
      <c r="AH451" s="723">
        <f>VFCB*13%</f>
        <v>3.4723</v>
      </c>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row>
    <row r="452" spans="1:60" ht="12.75">
      <c r="A452" s="681"/>
      <c r="B452" s="703"/>
      <c r="C452" s="699"/>
      <c r="D452" s="681"/>
      <c r="E452" s="324"/>
      <c r="F452" s="325"/>
      <c r="G452" s="700"/>
      <c r="H452" s="700"/>
      <c r="I452" s="334"/>
      <c r="J452" s="73"/>
      <c r="K452" s="330"/>
      <c r="L452" s="331"/>
      <c r="M452" s="704"/>
      <c r="N452" s="704"/>
      <c r="O452" s="334"/>
      <c r="P452" s="334"/>
      <c r="Q452" s="73"/>
      <c r="R452" s="704"/>
      <c r="S452" s="704"/>
      <c r="T452" s="705"/>
      <c r="U452" s="706"/>
      <c r="V452" s="339"/>
      <c r="W452" s="707"/>
      <c r="X452" s="707"/>
      <c r="Y452" s="342"/>
      <c r="Z452" s="342"/>
      <c r="AA452" s="342"/>
      <c r="AB452" s="479"/>
      <c r="AC452" s="224"/>
      <c r="AD452" s="724"/>
      <c r="AE452" s="715" t="s">
        <v>937</v>
      </c>
      <c r="AF452" s="725"/>
      <c r="AG452" s="714"/>
      <c r="AH452" s="726"/>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row>
    <row r="453" spans="1:60" ht="12.75">
      <c r="A453" s="681"/>
      <c r="B453" s="703"/>
      <c r="C453" s="699"/>
      <c r="D453" s="681"/>
      <c r="E453" s="324"/>
      <c r="F453" s="325"/>
      <c r="G453" s="700"/>
      <c r="H453" s="700"/>
      <c r="I453" s="334"/>
      <c r="J453" s="73"/>
      <c r="K453" s="330"/>
      <c r="L453" s="331"/>
      <c r="M453" s="704"/>
      <c r="N453" s="704"/>
      <c r="O453" s="334"/>
      <c r="P453" s="334"/>
      <c r="Q453" s="73"/>
      <c r="R453" s="704"/>
      <c r="S453" s="704"/>
      <c r="T453" s="705"/>
      <c r="U453" s="706"/>
      <c r="V453" s="339"/>
      <c r="W453" s="707"/>
      <c r="X453" s="707"/>
      <c r="Y453" s="342"/>
      <c r="Z453" s="342"/>
      <c r="AA453" s="342"/>
      <c r="AB453" s="479"/>
      <c r="AC453" s="224"/>
      <c r="AD453" s="722" t="s">
        <v>938</v>
      </c>
      <c r="AE453" s="713" t="s">
        <v>939</v>
      </c>
      <c r="AF453" s="727"/>
      <c r="AG453" s="712"/>
      <c r="AH453" s="723"/>
      <c r="AI453" s="297"/>
      <c r="AJ453" s="297"/>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row>
    <row r="454" spans="1:60" ht="12.75">
      <c r="A454" s="681"/>
      <c r="B454" s="703"/>
      <c r="C454" s="699"/>
      <c r="D454" s="681"/>
      <c r="E454" s="324"/>
      <c r="F454" s="325"/>
      <c r="G454" s="700"/>
      <c r="H454" s="700"/>
      <c r="I454" s="334"/>
      <c r="J454" s="73"/>
      <c r="K454" s="330"/>
      <c r="L454" s="331"/>
      <c r="M454" s="704"/>
      <c r="N454" s="704"/>
      <c r="O454" s="334"/>
      <c r="P454" s="334"/>
      <c r="Q454" s="73"/>
      <c r="R454" s="704"/>
      <c r="S454" s="704"/>
      <c r="T454" s="705"/>
      <c r="U454" s="706"/>
      <c r="V454" s="339"/>
      <c r="W454" s="707"/>
      <c r="X454" s="707"/>
      <c r="Y454" s="342"/>
      <c r="Z454" s="342"/>
      <c r="AA454" s="342"/>
      <c r="AB454" s="479"/>
      <c r="AC454" s="224"/>
      <c r="AD454" s="728" t="s">
        <v>940</v>
      </c>
      <c r="AE454" s="729" t="s">
        <v>941</v>
      </c>
      <c r="AF454" s="729" t="s">
        <v>942</v>
      </c>
      <c r="AG454" s="730">
        <f>vfspb*19.6%</f>
        <v>5.38804</v>
      </c>
      <c r="AH454" s="731">
        <f>vfspb*13%</f>
        <v>3.5737</v>
      </c>
      <c r="AI454" s="297"/>
      <c r="AJ454" s="297"/>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row>
    <row r="455" spans="1:60" ht="12.75">
      <c r="A455" s="681"/>
      <c r="B455" s="703"/>
      <c r="C455" s="699"/>
      <c r="D455" s="681"/>
      <c r="E455" s="324"/>
      <c r="F455" s="325"/>
      <c r="G455" s="700"/>
      <c r="H455" s="700"/>
      <c r="I455" s="334"/>
      <c r="J455" s="73"/>
      <c r="K455" s="330"/>
      <c r="L455" s="331"/>
      <c r="M455" s="704"/>
      <c r="N455" s="704"/>
      <c r="O455" s="334"/>
      <c r="P455" s="334"/>
      <c r="Q455" s="73"/>
      <c r="R455" s="704"/>
      <c r="S455" s="704"/>
      <c r="T455" s="705"/>
      <c r="U455" s="706"/>
      <c r="V455" s="339"/>
      <c r="W455" s="707"/>
      <c r="X455" s="707"/>
      <c r="Y455" s="342"/>
      <c r="Z455" s="342"/>
      <c r="AA455" s="342"/>
      <c r="AB455" s="479"/>
      <c r="AC455" s="224"/>
      <c r="AD455" s="724" t="s">
        <v>943</v>
      </c>
      <c r="AE455" s="732"/>
      <c r="AF455" s="725"/>
      <c r="AG455" s="714"/>
      <c r="AH455" s="726"/>
      <c r="AI455" s="297"/>
      <c r="AJ455" s="297"/>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row>
    <row r="456" spans="1:60" ht="12.75">
      <c r="A456" s="681"/>
      <c r="B456" s="703"/>
      <c r="C456" s="699"/>
      <c r="D456" s="681"/>
      <c r="E456" s="324"/>
      <c r="F456" s="325"/>
      <c r="G456" s="700"/>
      <c r="H456" s="700"/>
      <c r="I456" s="334"/>
      <c r="J456" s="73"/>
      <c r="K456" s="330"/>
      <c r="L456" s="331"/>
      <c r="M456" s="704"/>
      <c r="N456" s="704"/>
      <c r="O456" s="334"/>
      <c r="P456" s="334"/>
      <c r="Q456" s="73"/>
      <c r="R456" s="704"/>
      <c r="S456" s="704"/>
      <c r="T456" s="705"/>
      <c r="U456" s="706"/>
      <c r="V456" s="339"/>
      <c r="W456" s="707"/>
      <c r="X456" s="707"/>
      <c r="Y456" s="342"/>
      <c r="Z456" s="342"/>
      <c r="AA456" s="342"/>
      <c r="AB456" s="479"/>
      <c r="AC456" s="224"/>
      <c r="AD456" s="722" t="s">
        <v>944</v>
      </c>
      <c r="AE456" s="713" t="s">
        <v>945</v>
      </c>
      <c r="AF456" s="727"/>
      <c r="AG456" s="712"/>
      <c r="AH456" s="723"/>
      <c r="AI456" s="297"/>
      <c r="AJ456" s="297"/>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row>
    <row r="457" spans="1:60" ht="12.75">
      <c r="A457" s="681"/>
      <c r="B457" s="703"/>
      <c r="C457" s="699"/>
      <c r="D457" s="681"/>
      <c r="E457" s="324"/>
      <c r="F457" s="325"/>
      <c r="G457" s="700"/>
      <c r="H457" s="700"/>
      <c r="I457" s="334"/>
      <c r="J457" s="73"/>
      <c r="K457" s="330"/>
      <c r="L457" s="331"/>
      <c r="M457" s="704"/>
      <c r="N457" s="704"/>
      <c r="O457" s="334"/>
      <c r="P457" s="334"/>
      <c r="Q457" s="73"/>
      <c r="R457" s="704"/>
      <c r="S457" s="704"/>
      <c r="T457" s="705"/>
      <c r="U457" s="706"/>
      <c r="V457" s="339"/>
      <c r="W457" s="707"/>
      <c r="X457" s="707"/>
      <c r="Y457" s="342"/>
      <c r="Z457" s="342"/>
      <c r="AA457" s="342"/>
      <c r="AB457" s="479"/>
      <c r="AC457" s="224"/>
      <c r="AD457" s="728" t="s">
        <v>946</v>
      </c>
      <c r="AE457" s="729"/>
      <c r="AF457" s="729" t="s">
        <v>947</v>
      </c>
      <c r="AG457" s="730">
        <f>VFARS*19.6%</f>
        <v>5.38804</v>
      </c>
      <c r="AH457" s="731">
        <f>VFARS*13%</f>
        <v>3.5737</v>
      </c>
      <c r="AI457" s="297"/>
      <c r="AJ457" s="297"/>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row>
    <row r="458" spans="1:60" ht="12.75">
      <c r="A458" s="681"/>
      <c r="B458" s="703"/>
      <c r="C458" s="699"/>
      <c r="D458" s="681"/>
      <c r="E458" s="324"/>
      <c r="F458" s="325"/>
      <c r="G458" s="700"/>
      <c r="H458" s="700"/>
      <c r="I458" s="334"/>
      <c r="J458" s="73"/>
      <c r="K458" s="330"/>
      <c r="L458" s="331"/>
      <c r="M458" s="704"/>
      <c r="N458" s="704"/>
      <c r="O458" s="334"/>
      <c r="P458" s="334"/>
      <c r="Q458" s="73"/>
      <c r="R458" s="704"/>
      <c r="S458" s="704"/>
      <c r="T458" s="705"/>
      <c r="U458" s="706"/>
      <c r="V458" s="339"/>
      <c r="W458" s="707"/>
      <c r="X458" s="707"/>
      <c r="Y458" s="342"/>
      <c r="Z458" s="342"/>
      <c r="AA458" s="342"/>
      <c r="AB458" s="479"/>
      <c r="AC458" s="224"/>
      <c r="AD458" s="728" t="s">
        <v>948</v>
      </c>
      <c r="AE458" s="729"/>
      <c r="AF458" s="733"/>
      <c r="AG458" s="730"/>
      <c r="AH458" s="731"/>
      <c r="AI458" s="297"/>
      <c r="AJ458" s="297"/>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row>
    <row r="459" spans="1:60" ht="12.75">
      <c r="A459" s="681"/>
      <c r="B459" s="703"/>
      <c r="C459" s="699"/>
      <c r="D459" s="681"/>
      <c r="E459" s="324"/>
      <c r="F459" s="325"/>
      <c r="G459" s="700"/>
      <c r="H459" s="700"/>
      <c r="I459" s="334"/>
      <c r="J459" s="73"/>
      <c r="K459" s="330"/>
      <c r="L459" s="331"/>
      <c r="M459" s="704"/>
      <c r="N459" s="704"/>
      <c r="O459" s="334"/>
      <c r="P459" s="334"/>
      <c r="Q459" s="73"/>
      <c r="R459" s="704"/>
      <c r="S459" s="704"/>
      <c r="T459" s="705"/>
      <c r="U459" s="706"/>
      <c r="V459" s="339"/>
      <c r="W459" s="707"/>
      <c r="X459" s="707"/>
      <c r="Y459" s="342"/>
      <c r="Z459" s="342"/>
      <c r="AA459" s="342"/>
      <c r="AB459" s="479"/>
      <c r="AC459" s="224"/>
      <c r="AD459" s="724"/>
      <c r="AE459" s="715"/>
      <c r="AF459" s="725"/>
      <c r="AG459" s="714"/>
      <c r="AH459" s="726"/>
      <c r="AI459" s="297"/>
      <c r="AJ459" s="297"/>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row>
    <row r="460" spans="1:60" ht="12.75">
      <c r="A460" s="681"/>
      <c r="B460" s="703"/>
      <c r="C460" s="699"/>
      <c r="D460" s="681"/>
      <c r="E460" s="324"/>
      <c r="F460" s="325"/>
      <c r="G460" s="700"/>
      <c r="H460" s="700"/>
      <c r="I460" s="334"/>
      <c r="J460" s="73"/>
      <c r="K460" s="330"/>
      <c r="L460" s="331"/>
      <c r="M460" s="704"/>
      <c r="N460" s="704"/>
      <c r="O460" s="334"/>
      <c r="P460" s="334"/>
      <c r="Q460" s="73"/>
      <c r="R460" s="704"/>
      <c r="S460" s="704"/>
      <c r="T460" s="705"/>
      <c r="U460" s="706"/>
      <c r="V460" s="339"/>
      <c r="W460" s="707"/>
      <c r="X460" s="707"/>
      <c r="Y460" s="342"/>
      <c r="Z460" s="342"/>
      <c r="AA460" s="342"/>
      <c r="AB460" s="479"/>
      <c r="AC460" s="224"/>
      <c r="AD460" s="722" t="s">
        <v>949</v>
      </c>
      <c r="AE460" s="713" t="s">
        <v>950</v>
      </c>
      <c r="AF460" s="727"/>
      <c r="AG460" s="712"/>
      <c r="AH460" s="723"/>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row>
    <row r="461" spans="1:60" ht="12.75">
      <c r="A461" s="681"/>
      <c r="B461" s="703"/>
      <c r="C461" s="699"/>
      <c r="D461" s="681"/>
      <c r="E461" s="324"/>
      <c r="F461" s="325"/>
      <c r="G461" s="700"/>
      <c r="H461" s="700"/>
      <c r="I461" s="334"/>
      <c r="J461" s="73"/>
      <c r="K461" s="330"/>
      <c r="L461" s="331"/>
      <c r="M461" s="704"/>
      <c r="N461" s="704"/>
      <c r="O461" s="334"/>
      <c r="P461" s="334"/>
      <c r="Q461" s="73"/>
      <c r="R461" s="704"/>
      <c r="S461" s="704"/>
      <c r="T461" s="705"/>
      <c r="U461" s="706"/>
      <c r="V461" s="339"/>
      <c r="W461" s="707"/>
      <c r="X461" s="707"/>
      <c r="Y461" s="342"/>
      <c r="Z461" s="342"/>
      <c r="AA461" s="342"/>
      <c r="AB461" s="479"/>
      <c r="AC461" s="224"/>
      <c r="AD461" s="728" t="s">
        <v>951</v>
      </c>
      <c r="AE461" s="729" t="s">
        <v>952</v>
      </c>
      <c r="AF461" s="729" t="s">
        <v>953</v>
      </c>
      <c r="AG461" s="730">
        <f>VFARS*19.6%</f>
        <v>5.38804</v>
      </c>
      <c r="AH461" s="731">
        <f>VFARS*13%</f>
        <v>3.5737</v>
      </c>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row>
    <row r="462" spans="1:60" ht="12.75">
      <c r="A462" s="681"/>
      <c r="B462" s="703"/>
      <c r="C462" s="699"/>
      <c r="D462" s="681"/>
      <c r="E462" s="324"/>
      <c r="F462" s="325"/>
      <c r="G462" s="700"/>
      <c r="H462" s="700"/>
      <c r="I462" s="334"/>
      <c r="J462" s="73"/>
      <c r="K462" s="330"/>
      <c r="L462" s="331"/>
      <c r="M462" s="704"/>
      <c r="N462" s="704"/>
      <c r="O462" s="334"/>
      <c r="P462" s="334"/>
      <c r="Q462" s="73"/>
      <c r="R462" s="704"/>
      <c r="S462" s="704"/>
      <c r="T462" s="705"/>
      <c r="U462" s="706"/>
      <c r="V462" s="339"/>
      <c r="W462" s="707"/>
      <c r="X462" s="707"/>
      <c r="Y462" s="342"/>
      <c r="Z462" s="342"/>
      <c r="AA462" s="342"/>
      <c r="AB462" s="479"/>
      <c r="AC462" s="224"/>
      <c r="AD462" s="728" t="s">
        <v>954</v>
      </c>
      <c r="AE462" s="729" t="s">
        <v>955</v>
      </c>
      <c r="AF462" s="729"/>
      <c r="AG462" s="730"/>
      <c r="AH462" s="73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row>
    <row r="463" spans="1:60" ht="12.75">
      <c r="A463" s="681"/>
      <c r="B463" s="703"/>
      <c r="C463" s="699"/>
      <c r="D463" s="681"/>
      <c r="E463" s="324"/>
      <c r="F463" s="325"/>
      <c r="G463" s="700"/>
      <c r="H463" s="700"/>
      <c r="I463" s="334"/>
      <c r="J463" s="73"/>
      <c r="K463" s="330"/>
      <c r="L463" s="331"/>
      <c r="M463" s="704"/>
      <c r="N463" s="704"/>
      <c r="O463" s="334"/>
      <c r="P463" s="334"/>
      <c r="Q463" s="73"/>
      <c r="R463" s="704"/>
      <c r="S463" s="704"/>
      <c r="T463" s="705"/>
      <c r="U463" s="706"/>
      <c r="V463" s="339"/>
      <c r="W463" s="707"/>
      <c r="X463" s="707"/>
      <c r="Y463" s="342"/>
      <c r="Z463" s="342"/>
      <c r="AA463" s="342"/>
      <c r="AB463" s="479"/>
      <c r="AC463" s="224"/>
      <c r="AD463" s="724"/>
      <c r="AE463" s="715" t="s">
        <v>956</v>
      </c>
      <c r="AF463" s="715"/>
      <c r="AG463" s="714"/>
      <c r="AH463" s="726"/>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row>
    <row r="464" spans="1:60" ht="12.75">
      <c r="A464" s="681"/>
      <c r="B464" s="703"/>
      <c r="C464" s="699"/>
      <c r="D464" s="681"/>
      <c r="E464" s="324"/>
      <c r="F464" s="325"/>
      <c r="G464" s="700"/>
      <c r="H464" s="700"/>
      <c r="I464" s="334"/>
      <c r="J464" s="73"/>
      <c r="K464" s="330"/>
      <c r="L464" s="331"/>
      <c r="M464" s="704"/>
      <c r="N464" s="704"/>
      <c r="O464" s="334"/>
      <c r="P464" s="334"/>
      <c r="Q464" s="73"/>
      <c r="R464" s="704"/>
      <c r="S464" s="704"/>
      <c r="T464" s="705"/>
      <c r="U464" s="706"/>
      <c r="V464" s="339"/>
      <c r="W464" s="707"/>
      <c r="X464" s="707"/>
      <c r="Y464" s="342"/>
      <c r="Z464" s="342"/>
      <c r="AA464" s="342"/>
      <c r="AB464" s="479"/>
      <c r="AC464" s="224"/>
      <c r="AD464" s="722" t="s">
        <v>957</v>
      </c>
      <c r="AE464" s="713" t="s">
        <v>958</v>
      </c>
      <c r="AF464" s="713" t="s">
        <v>959</v>
      </c>
      <c r="AG464" s="712">
        <f>VFGO*19.6%</f>
        <v>5.16852</v>
      </c>
      <c r="AH464" s="723">
        <f>VFGO*13%</f>
        <v>3.4281</v>
      </c>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row>
    <row r="465" spans="1:60" ht="12.75">
      <c r="A465" s="681"/>
      <c r="B465" s="703"/>
      <c r="C465" s="699"/>
      <c r="D465" s="681"/>
      <c r="E465" s="324"/>
      <c r="F465" s="325"/>
      <c r="G465" s="700"/>
      <c r="H465" s="700"/>
      <c r="I465" s="334"/>
      <c r="J465" s="73"/>
      <c r="K465" s="330"/>
      <c r="L465" s="331"/>
      <c r="M465" s="704"/>
      <c r="N465" s="704"/>
      <c r="O465" s="334"/>
      <c r="P465" s="334"/>
      <c r="Q465" s="73"/>
      <c r="R465" s="704"/>
      <c r="S465" s="704"/>
      <c r="T465" s="705"/>
      <c r="U465" s="706"/>
      <c r="V465" s="339"/>
      <c r="W465" s="707"/>
      <c r="X465" s="707"/>
      <c r="Y465" s="342"/>
      <c r="Z465" s="342"/>
      <c r="AA465" s="342"/>
      <c r="AB465" s="479"/>
      <c r="AC465" s="224"/>
      <c r="AD465" s="724"/>
      <c r="AE465" s="715" t="s">
        <v>960</v>
      </c>
      <c r="AF465" s="725"/>
      <c r="AG465" s="714"/>
      <c r="AH465" s="726"/>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row>
    <row r="466" spans="1:60" ht="12.75">
      <c r="A466" s="681"/>
      <c r="B466" s="703"/>
      <c r="C466" s="699"/>
      <c r="D466" s="681"/>
      <c r="E466" s="324"/>
      <c r="F466" s="325"/>
      <c r="G466" s="700"/>
      <c r="H466" s="700"/>
      <c r="I466" s="334"/>
      <c r="J466" s="73"/>
      <c r="K466" s="330"/>
      <c r="L466" s="331"/>
      <c r="M466" s="704"/>
      <c r="N466" s="704"/>
      <c r="O466" s="334"/>
      <c r="P466" s="334"/>
      <c r="Q466" s="73"/>
      <c r="R466" s="704"/>
      <c r="S466" s="704"/>
      <c r="T466" s="705"/>
      <c r="U466" s="706"/>
      <c r="V466" s="339"/>
      <c r="W466" s="707"/>
      <c r="X466" s="707"/>
      <c r="Y466" s="342"/>
      <c r="Z466" s="342"/>
      <c r="AA466" s="342"/>
      <c r="AB466" s="479"/>
      <c r="AC466" s="224"/>
      <c r="AD466" s="722" t="s">
        <v>961</v>
      </c>
      <c r="AE466" s="713" t="s">
        <v>962</v>
      </c>
      <c r="AF466" s="713" t="s">
        <v>963</v>
      </c>
      <c r="AG466" s="712">
        <f>VFFOD*19.6%</f>
        <v>4.89608</v>
      </c>
      <c r="AH466" s="723">
        <f>VFFOD*13%</f>
        <v>3.2474000000000003</v>
      </c>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row>
    <row r="467" spans="1:60" ht="12.75">
      <c r="A467" s="681"/>
      <c r="B467" s="703"/>
      <c r="C467" s="699"/>
      <c r="D467" s="681"/>
      <c r="E467" s="324"/>
      <c r="F467" s="325"/>
      <c r="G467" s="700"/>
      <c r="H467" s="700"/>
      <c r="I467" s="334"/>
      <c r="J467" s="73"/>
      <c r="K467" s="330"/>
      <c r="L467" s="331"/>
      <c r="M467" s="704"/>
      <c r="N467" s="704"/>
      <c r="O467" s="334"/>
      <c r="P467" s="334"/>
      <c r="Q467" s="73"/>
      <c r="R467" s="704"/>
      <c r="S467" s="704"/>
      <c r="T467" s="705"/>
      <c r="U467" s="706"/>
      <c r="V467" s="339"/>
      <c r="W467" s="707"/>
      <c r="X467" s="707"/>
      <c r="Y467" s="342"/>
      <c r="Z467" s="342"/>
      <c r="AA467" s="342"/>
      <c r="AB467" s="479"/>
      <c r="AC467" s="224"/>
      <c r="AD467" s="724" t="s">
        <v>964</v>
      </c>
      <c r="AE467" s="715"/>
      <c r="AF467" s="734"/>
      <c r="AG467" s="734"/>
      <c r="AH467" s="735"/>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row>
    <row r="468" spans="1:60" ht="12.75">
      <c r="A468" s="681"/>
      <c r="B468" s="703"/>
      <c r="C468" s="699"/>
      <c r="D468" s="681"/>
      <c r="E468" s="324"/>
      <c r="F468" s="325"/>
      <c r="G468" s="700"/>
      <c r="H468" s="700"/>
      <c r="I468" s="334"/>
      <c r="J468" s="73"/>
      <c r="K468" s="330"/>
      <c r="L468" s="331"/>
      <c r="M468" s="704"/>
      <c r="N468" s="704"/>
      <c r="O468" s="334"/>
      <c r="P468" s="334"/>
      <c r="Q468" s="73"/>
      <c r="R468" s="704"/>
      <c r="S468" s="704"/>
      <c r="T468" s="705"/>
      <c r="U468" s="706"/>
      <c r="V468" s="339"/>
      <c r="W468" s="707"/>
      <c r="X468" s="707"/>
      <c r="Y468" s="342"/>
      <c r="Z468" s="342"/>
      <c r="AA468" s="342"/>
      <c r="AB468" s="479"/>
      <c r="AC468" s="224"/>
      <c r="AD468" s="736" t="s">
        <v>965</v>
      </c>
      <c r="AE468" s="716" t="s">
        <v>966</v>
      </c>
      <c r="AF468" s="737" t="s">
        <v>967</v>
      </c>
      <c r="AG468" s="720">
        <f>VFFOD*19.6%</f>
        <v>4.89608</v>
      </c>
      <c r="AH468" s="721">
        <f>VFFOD*13%</f>
        <v>3.2474000000000003</v>
      </c>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row>
    <row r="469" spans="1:60" ht="12.75">
      <c r="A469" s="681"/>
      <c r="B469" s="703"/>
      <c r="C469" s="699"/>
      <c r="D469" s="681"/>
      <c r="E469" s="324"/>
      <c r="F469" s="325"/>
      <c r="G469" s="700"/>
      <c r="H469" s="700"/>
      <c r="I469" s="334"/>
      <c r="J469" s="73"/>
      <c r="K469" s="330"/>
      <c r="L469" s="331"/>
      <c r="M469" s="704"/>
      <c r="N469" s="704"/>
      <c r="O469" s="334"/>
      <c r="P469" s="334"/>
      <c r="Q469" s="73"/>
      <c r="R469" s="704"/>
      <c r="S469" s="704"/>
      <c r="T469" s="705"/>
      <c r="U469" s="706"/>
      <c r="V469" s="339"/>
      <c r="W469" s="707"/>
      <c r="X469" s="707"/>
      <c r="Y469" s="342"/>
      <c r="Z469" s="342"/>
      <c r="AA469" s="342"/>
      <c r="AB469" s="479"/>
      <c r="AC469" s="224"/>
      <c r="AD469" s="722" t="s">
        <v>968</v>
      </c>
      <c r="AE469" s="713" t="s">
        <v>969</v>
      </c>
      <c r="AF469" s="713" t="s">
        <v>970</v>
      </c>
      <c r="AG469" s="712">
        <f>VFFOD*19.6%</f>
        <v>4.89608</v>
      </c>
      <c r="AH469" s="723">
        <f>VFFOD*13%</f>
        <v>3.2474000000000003</v>
      </c>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row>
    <row r="470" spans="1:60" ht="12.75">
      <c r="A470" s="681"/>
      <c r="B470" s="703"/>
      <c r="C470" s="699"/>
      <c r="D470" s="681"/>
      <c r="E470" s="324"/>
      <c r="F470" s="325"/>
      <c r="G470" s="700"/>
      <c r="H470" s="700"/>
      <c r="I470" s="334"/>
      <c r="J470" s="73"/>
      <c r="K470" s="330"/>
      <c r="L470" s="331"/>
      <c r="M470" s="704"/>
      <c r="N470" s="704"/>
      <c r="O470" s="334"/>
      <c r="P470" s="334"/>
      <c r="Q470" s="73"/>
      <c r="R470" s="704"/>
      <c r="S470" s="704"/>
      <c r="T470" s="705"/>
      <c r="U470" s="706"/>
      <c r="V470" s="339"/>
      <c r="W470" s="707"/>
      <c r="X470" s="707"/>
      <c r="Y470" s="342"/>
      <c r="Z470" s="342"/>
      <c r="AA470" s="342"/>
      <c r="AB470" s="479"/>
      <c r="AC470" s="224"/>
      <c r="AD470" s="728"/>
      <c r="AE470" s="729" t="s">
        <v>971</v>
      </c>
      <c r="AF470" s="738"/>
      <c r="AG470" s="738"/>
      <c r="AH470" s="739"/>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row>
    <row r="471" spans="1:60" ht="12.75">
      <c r="A471" s="681"/>
      <c r="B471" s="703"/>
      <c r="C471" s="699"/>
      <c r="D471" s="681"/>
      <c r="E471" s="324"/>
      <c r="F471" s="325"/>
      <c r="G471" s="700"/>
      <c r="H471" s="700"/>
      <c r="I471" s="334"/>
      <c r="J471" s="73"/>
      <c r="K471" s="330"/>
      <c r="L471" s="331"/>
      <c r="M471" s="704"/>
      <c r="N471" s="704"/>
      <c r="O471" s="334"/>
      <c r="P471" s="334"/>
      <c r="Q471" s="73"/>
      <c r="R471" s="704"/>
      <c r="S471" s="704"/>
      <c r="T471" s="705"/>
      <c r="U471" s="706"/>
      <c r="V471" s="339"/>
      <c r="W471" s="707"/>
      <c r="X471" s="707"/>
      <c r="Y471" s="342"/>
      <c r="Z471" s="342"/>
      <c r="AA471" s="342"/>
      <c r="AB471" s="479"/>
      <c r="AC471" s="224"/>
      <c r="AD471" s="728"/>
      <c r="AE471" s="729" t="s">
        <v>972</v>
      </c>
      <c r="AF471" s="738"/>
      <c r="AG471" s="738"/>
      <c r="AH471" s="739"/>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row>
    <row r="472" spans="1:60" ht="12.75">
      <c r="A472" s="681"/>
      <c r="B472" s="703"/>
      <c r="C472" s="699"/>
      <c r="D472" s="681"/>
      <c r="E472" s="324"/>
      <c r="F472" s="325"/>
      <c r="G472" s="700"/>
      <c r="H472" s="700"/>
      <c r="I472" s="334"/>
      <c r="J472" s="73"/>
      <c r="K472" s="330"/>
      <c r="L472" s="331"/>
      <c r="M472" s="704"/>
      <c r="N472" s="704"/>
      <c r="O472" s="334"/>
      <c r="P472" s="334"/>
      <c r="Q472" s="73"/>
      <c r="R472" s="704"/>
      <c r="S472" s="704"/>
      <c r="T472" s="705"/>
      <c r="U472" s="706"/>
      <c r="V472" s="339"/>
      <c r="W472" s="707"/>
      <c r="X472" s="707"/>
      <c r="Y472" s="342"/>
      <c r="Z472" s="342"/>
      <c r="AA472" s="342"/>
      <c r="AB472" s="479"/>
      <c r="AC472" s="224"/>
      <c r="AD472" s="724"/>
      <c r="AE472" s="715" t="s">
        <v>973</v>
      </c>
      <c r="AF472" s="734"/>
      <c r="AG472" s="734"/>
      <c r="AH472" s="735"/>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row>
    <row r="473" spans="1:60" ht="12.75">
      <c r="A473" s="681"/>
      <c r="B473" s="703"/>
      <c r="C473" s="699"/>
      <c r="D473" s="681"/>
      <c r="E473" s="324"/>
      <c r="F473" s="325"/>
      <c r="G473" s="700"/>
      <c r="H473" s="700"/>
      <c r="I473" s="334"/>
      <c r="J473" s="73"/>
      <c r="K473" s="330"/>
      <c r="L473" s="331"/>
      <c r="M473" s="704"/>
      <c r="N473" s="704"/>
      <c r="O473" s="334"/>
      <c r="P473" s="334"/>
      <c r="Q473" s="73"/>
      <c r="R473" s="704"/>
      <c r="S473" s="704"/>
      <c r="T473" s="705"/>
      <c r="U473" s="706"/>
      <c r="V473" s="339"/>
      <c r="W473" s="707"/>
      <c r="X473" s="707"/>
      <c r="Y473" s="342"/>
      <c r="Z473" s="342"/>
      <c r="AA473" s="342"/>
      <c r="AB473" s="479"/>
      <c r="AC473" s="224"/>
      <c r="AD473" s="722" t="s">
        <v>974</v>
      </c>
      <c r="AE473" s="713" t="s">
        <v>975</v>
      </c>
      <c r="AF473" s="713" t="s">
        <v>976</v>
      </c>
      <c r="AG473" s="712">
        <f>VFBS*19.6%</f>
        <v>3.0321200000000004</v>
      </c>
      <c r="AH473" s="723">
        <f>VFBS*13%</f>
        <v>2.0111000000000003</v>
      </c>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row>
    <row r="474" spans="1:60" ht="12.75">
      <c r="A474" s="681"/>
      <c r="B474" s="703"/>
      <c r="C474" s="699"/>
      <c r="D474" s="681"/>
      <c r="E474" s="324"/>
      <c r="F474" s="325"/>
      <c r="G474" s="700"/>
      <c r="H474" s="700"/>
      <c r="I474" s="334"/>
      <c r="J474" s="73"/>
      <c r="K474" s="330"/>
      <c r="L474" s="331"/>
      <c r="M474" s="704"/>
      <c r="N474" s="704"/>
      <c r="O474" s="334"/>
      <c r="P474" s="334"/>
      <c r="Q474" s="73"/>
      <c r="R474" s="704"/>
      <c r="S474" s="704"/>
      <c r="T474" s="705"/>
      <c r="U474" s="706"/>
      <c r="V474" s="339"/>
      <c r="W474" s="707"/>
      <c r="X474" s="707"/>
      <c r="Y474" s="342"/>
      <c r="Z474" s="342"/>
      <c r="AA474" s="342"/>
      <c r="AB474" s="479"/>
      <c r="AC474" s="224"/>
      <c r="AD474" s="724"/>
      <c r="AE474" s="715" t="s">
        <v>977</v>
      </c>
      <c r="AF474" s="725"/>
      <c r="AG474" s="714"/>
      <c r="AH474" s="726"/>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row>
    <row r="475" spans="1:60" ht="12.75">
      <c r="A475" s="681"/>
      <c r="B475" s="703"/>
      <c r="C475" s="699"/>
      <c r="D475" s="681"/>
      <c r="E475" s="324"/>
      <c r="F475" s="325"/>
      <c r="G475" s="700"/>
      <c r="H475" s="700"/>
      <c r="I475" s="334"/>
      <c r="J475" s="73"/>
      <c r="K475" s="330"/>
      <c r="L475" s="331"/>
      <c r="M475" s="704"/>
      <c r="N475" s="704"/>
      <c r="O475" s="334"/>
      <c r="P475" s="334"/>
      <c r="Q475" s="73"/>
      <c r="R475" s="704"/>
      <c r="S475" s="704"/>
      <c r="T475" s="705"/>
      <c r="U475" s="706"/>
      <c r="V475" s="339"/>
      <c r="W475" s="707"/>
      <c r="X475" s="707"/>
      <c r="Y475" s="342"/>
      <c r="Z475" s="342"/>
      <c r="AA475" s="342"/>
      <c r="AB475" s="479"/>
      <c r="AC475" s="224"/>
      <c r="AD475" s="722" t="s">
        <v>978</v>
      </c>
      <c r="AE475" s="713" t="s">
        <v>979</v>
      </c>
      <c r="AF475" s="713" t="s">
        <v>980</v>
      </c>
      <c r="AG475" s="712">
        <f>VFFHS*19.6%</f>
        <v>2.68128</v>
      </c>
      <c r="AH475" s="723">
        <f>VFFHS*13%</f>
        <v>1.7784</v>
      </c>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row>
    <row r="476" spans="1:60" ht="12.75">
      <c r="A476" s="681"/>
      <c r="B476" s="703"/>
      <c r="C476" s="699"/>
      <c r="D476" s="681"/>
      <c r="E476" s="324"/>
      <c r="F476" s="325"/>
      <c r="G476" s="700"/>
      <c r="H476" s="700"/>
      <c r="I476" s="334"/>
      <c r="J476" s="73"/>
      <c r="K476" s="330"/>
      <c r="L476" s="331"/>
      <c r="M476" s="704"/>
      <c r="N476" s="704"/>
      <c r="O476" s="334"/>
      <c r="P476" s="334"/>
      <c r="Q476" s="73"/>
      <c r="R476" s="704"/>
      <c r="S476" s="704"/>
      <c r="T476" s="705"/>
      <c r="U476" s="706"/>
      <c r="V476" s="339"/>
      <c r="W476" s="707"/>
      <c r="X476" s="707"/>
      <c r="Y476" s="342"/>
      <c r="Z476" s="342"/>
      <c r="AA476" s="342"/>
      <c r="AB476" s="479"/>
      <c r="AC476" s="224"/>
      <c r="AD476" s="724"/>
      <c r="AE476" s="715" t="s">
        <v>981</v>
      </c>
      <c r="AF476" s="715"/>
      <c r="AG476" s="714"/>
      <c r="AH476" s="726"/>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row>
    <row r="477" spans="1:60" ht="12.75">
      <c r="A477" s="681"/>
      <c r="B477" s="703"/>
      <c r="C477" s="699"/>
      <c r="D477" s="681"/>
      <c r="E477" s="324"/>
      <c r="F477" s="325"/>
      <c r="G477" s="700"/>
      <c r="H477" s="700"/>
      <c r="I477" s="334"/>
      <c r="J477" s="73"/>
      <c r="K477" s="330"/>
      <c r="L477" s="331"/>
      <c r="M477" s="704"/>
      <c r="N477" s="704"/>
      <c r="O477" s="334"/>
      <c r="P477" s="334"/>
      <c r="Q477" s="73"/>
      <c r="R477" s="704"/>
      <c r="S477" s="704"/>
      <c r="T477" s="705"/>
      <c r="U477" s="706"/>
      <c r="V477" s="339"/>
      <c r="W477" s="707"/>
      <c r="X477" s="707"/>
      <c r="Y477" s="342"/>
      <c r="Z477" s="342"/>
      <c r="AA477" s="342"/>
      <c r="AB477" s="479"/>
      <c r="AC477" s="224"/>
      <c r="AD477" s="722" t="s">
        <v>982</v>
      </c>
      <c r="AE477" s="713"/>
      <c r="AF477" s="713"/>
      <c r="AG477" s="712"/>
      <c r="AH477" s="723"/>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row>
    <row r="478" spans="1:60" ht="12.75">
      <c r="A478" s="681"/>
      <c r="B478" s="703"/>
      <c r="C478" s="699"/>
      <c r="D478" s="681"/>
      <c r="E478" s="324"/>
      <c r="F478" s="325"/>
      <c r="G478" s="700"/>
      <c r="H478" s="700"/>
      <c r="I478" s="334"/>
      <c r="J478" s="73"/>
      <c r="K478" s="330"/>
      <c r="L478" s="331"/>
      <c r="M478" s="704"/>
      <c r="N478" s="704"/>
      <c r="O478" s="334"/>
      <c r="P478" s="334"/>
      <c r="Q478" s="73"/>
      <c r="R478" s="704"/>
      <c r="S478" s="704"/>
      <c r="T478" s="705"/>
      <c r="U478" s="706"/>
      <c r="V478" s="339"/>
      <c r="W478" s="707"/>
      <c r="X478" s="707"/>
      <c r="Y478" s="342"/>
      <c r="Z478" s="342"/>
      <c r="AA478" s="342"/>
      <c r="AB478" s="479"/>
      <c r="AC478" s="224"/>
      <c r="AD478" s="728" t="s">
        <v>983</v>
      </c>
      <c r="AE478" s="729" t="s">
        <v>984</v>
      </c>
      <c r="AF478" s="729" t="s">
        <v>985</v>
      </c>
      <c r="AG478" s="730">
        <f>VFPRO*19.6%</f>
        <v>5.89176</v>
      </c>
      <c r="AH478" s="731">
        <f>VFPRO*13%</f>
        <v>3.9078</v>
      </c>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row>
    <row r="479" spans="1:60" ht="12.75">
      <c r="A479" s="681"/>
      <c r="B479" s="703"/>
      <c r="C479" s="699"/>
      <c r="D479" s="681"/>
      <c r="E479" s="324"/>
      <c r="F479" s="325"/>
      <c r="G479" s="700"/>
      <c r="H479" s="700"/>
      <c r="I479" s="334"/>
      <c r="J479" s="73"/>
      <c r="K479" s="330"/>
      <c r="L479" s="331"/>
      <c r="M479" s="704"/>
      <c r="N479" s="704"/>
      <c r="O479" s="334"/>
      <c r="P479" s="334"/>
      <c r="Q479" s="73"/>
      <c r="R479" s="704"/>
      <c r="S479" s="704"/>
      <c r="T479" s="705"/>
      <c r="U479" s="706"/>
      <c r="V479" s="339"/>
      <c r="W479" s="707"/>
      <c r="X479" s="707"/>
      <c r="Y479" s="342"/>
      <c r="Z479" s="342"/>
      <c r="AA479" s="342"/>
      <c r="AB479" s="479"/>
      <c r="AC479" s="224"/>
      <c r="AD479" s="724" t="s">
        <v>986</v>
      </c>
      <c r="AE479" s="715"/>
      <c r="AF479" s="715"/>
      <c r="AG479" s="714"/>
      <c r="AH479" s="726"/>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row>
    <row r="480" spans="1:60" ht="12.75">
      <c r="A480" s="681"/>
      <c r="B480" s="703"/>
      <c r="C480" s="699"/>
      <c r="D480" s="681"/>
      <c r="E480" s="324"/>
      <c r="F480" s="325"/>
      <c r="G480" s="700"/>
      <c r="H480" s="700"/>
      <c r="I480" s="334"/>
      <c r="J480" s="73"/>
      <c r="K480" s="330"/>
      <c r="L480" s="331"/>
      <c r="M480" s="704"/>
      <c r="N480" s="704"/>
      <c r="O480" s="334"/>
      <c r="P480" s="334"/>
      <c r="Q480" s="73"/>
      <c r="R480" s="704"/>
      <c r="S480" s="704"/>
      <c r="T480" s="705"/>
      <c r="U480" s="706"/>
      <c r="V480" s="339"/>
      <c r="W480" s="707"/>
      <c r="X480" s="707"/>
      <c r="Y480" s="342"/>
      <c r="Z480" s="342"/>
      <c r="AA480" s="342"/>
      <c r="AB480" s="479"/>
      <c r="AC480" s="224"/>
      <c r="AD480" s="722" t="s">
        <v>987</v>
      </c>
      <c r="AE480" s="713"/>
      <c r="AF480" s="713"/>
      <c r="AG480" s="712"/>
      <c r="AH480" s="723"/>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row>
    <row r="481" spans="1:60" ht="12.75">
      <c r="A481" s="681"/>
      <c r="B481" s="703"/>
      <c r="C481" s="699"/>
      <c r="D481" s="681"/>
      <c r="E481" s="324"/>
      <c r="F481" s="325"/>
      <c r="G481" s="700"/>
      <c r="H481" s="700"/>
      <c r="I481" s="334"/>
      <c r="J481" s="73"/>
      <c r="K481" s="330"/>
      <c r="L481" s="331"/>
      <c r="M481" s="704"/>
      <c r="N481" s="704"/>
      <c r="O481" s="334"/>
      <c r="P481" s="334"/>
      <c r="Q481" s="73"/>
      <c r="R481" s="704"/>
      <c r="S481" s="704"/>
      <c r="T481" s="705"/>
      <c r="U481" s="706"/>
      <c r="V481" s="339"/>
      <c r="W481" s="707"/>
      <c r="X481" s="707"/>
      <c r="Y481" s="342"/>
      <c r="Z481" s="342"/>
      <c r="AA481" s="342"/>
      <c r="AB481" s="479"/>
      <c r="AC481" s="224"/>
      <c r="AD481" s="728" t="s">
        <v>988</v>
      </c>
      <c r="AE481" s="729" t="s">
        <v>989</v>
      </c>
      <c r="AF481" s="729" t="s">
        <v>990</v>
      </c>
      <c r="AG481" s="730">
        <f>VFBUT*19.6%</f>
        <v>5.65264</v>
      </c>
      <c r="AH481" s="731">
        <f>VFBUT*13%</f>
        <v>3.7492</v>
      </c>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row>
    <row r="482" spans="1:60" ht="12.75">
      <c r="A482" s="681"/>
      <c r="B482" s="703"/>
      <c r="C482" s="699"/>
      <c r="D482" s="681"/>
      <c r="E482" s="324"/>
      <c r="F482" s="325"/>
      <c r="G482" s="700"/>
      <c r="H482" s="700"/>
      <c r="I482" s="334"/>
      <c r="J482" s="73"/>
      <c r="K482" s="330"/>
      <c r="L482" s="331"/>
      <c r="M482" s="704"/>
      <c r="N482" s="704"/>
      <c r="O482" s="334"/>
      <c r="P482" s="334"/>
      <c r="Q482" s="73"/>
      <c r="R482" s="704"/>
      <c r="S482" s="704"/>
      <c r="T482" s="705"/>
      <c r="U482" s="706"/>
      <c r="V482" s="339"/>
      <c r="W482" s="707"/>
      <c r="X482" s="707"/>
      <c r="Y482" s="342"/>
      <c r="Z482" s="342"/>
      <c r="AA482" s="342"/>
      <c r="AB482" s="479"/>
      <c r="AC482" s="224"/>
      <c r="AD482" s="724" t="s">
        <v>991</v>
      </c>
      <c r="AE482" s="715"/>
      <c r="AF482" s="715"/>
      <c r="AG482" s="714"/>
      <c r="AH482" s="726"/>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row>
    <row r="483" spans="1:60" ht="12.75">
      <c r="A483" s="681"/>
      <c r="B483" s="703"/>
      <c r="C483" s="699"/>
      <c r="D483" s="681"/>
      <c r="E483" s="324"/>
      <c r="F483" s="325"/>
      <c r="G483" s="700"/>
      <c r="H483" s="700"/>
      <c r="I483" s="334"/>
      <c r="J483" s="73"/>
      <c r="K483" s="330"/>
      <c r="L483" s="331"/>
      <c r="M483" s="704"/>
      <c r="N483" s="704"/>
      <c r="O483" s="334"/>
      <c r="P483" s="334"/>
      <c r="Q483" s="73"/>
      <c r="R483" s="704"/>
      <c r="S483" s="704"/>
      <c r="T483" s="705"/>
      <c r="U483" s="706"/>
      <c r="V483" s="339"/>
      <c r="W483" s="707"/>
      <c r="X483" s="707"/>
      <c r="Y483" s="342"/>
      <c r="Z483" s="342"/>
      <c r="AA483" s="342"/>
      <c r="AB483" s="479"/>
      <c r="AC483" s="224"/>
      <c r="AD483" s="722" t="s">
        <v>992</v>
      </c>
      <c r="AE483" s="713"/>
      <c r="AF483" s="713"/>
      <c r="AG483" s="712"/>
      <c r="AH483" s="723"/>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row>
    <row r="484" spans="1:60" ht="12.75">
      <c r="A484" s="681"/>
      <c r="B484" s="703"/>
      <c r="C484" s="699"/>
      <c r="D484" s="681"/>
      <c r="E484" s="324"/>
      <c r="F484" s="325"/>
      <c r="G484" s="700"/>
      <c r="H484" s="700"/>
      <c r="I484" s="334"/>
      <c r="J484" s="73"/>
      <c r="K484" s="330"/>
      <c r="L484" s="331"/>
      <c r="M484" s="704"/>
      <c r="N484" s="704"/>
      <c r="O484" s="334"/>
      <c r="P484" s="334"/>
      <c r="Q484" s="73"/>
      <c r="R484" s="704"/>
      <c r="S484" s="704"/>
      <c r="T484" s="705"/>
      <c r="U484" s="706"/>
      <c r="V484" s="339"/>
      <c r="W484" s="707"/>
      <c r="X484" s="707"/>
      <c r="Y484" s="342"/>
      <c r="Z484" s="342"/>
      <c r="AA484" s="342"/>
      <c r="AB484" s="479"/>
      <c r="AC484" s="224"/>
      <c r="AD484" s="728" t="s">
        <v>993</v>
      </c>
      <c r="AE484" s="729" t="s">
        <v>994</v>
      </c>
      <c r="AF484" s="729" t="s">
        <v>995</v>
      </c>
      <c r="AG484" s="730">
        <f>VFBUT*19.6%</f>
        <v>5.65264</v>
      </c>
      <c r="AH484" s="731">
        <f>VFBUT*13%</f>
        <v>3.7492</v>
      </c>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row>
    <row r="485" spans="1:60" ht="12.75">
      <c r="A485" s="681"/>
      <c r="B485" s="703"/>
      <c r="C485" s="699"/>
      <c r="D485" s="681"/>
      <c r="E485" s="324"/>
      <c r="F485" s="325"/>
      <c r="G485" s="700"/>
      <c r="H485" s="700"/>
      <c r="I485" s="334"/>
      <c r="J485" s="73"/>
      <c r="K485" s="330"/>
      <c r="L485" s="331"/>
      <c r="M485" s="704"/>
      <c r="N485" s="704"/>
      <c r="O485" s="334"/>
      <c r="P485" s="334"/>
      <c r="Q485" s="73"/>
      <c r="R485" s="704"/>
      <c r="S485" s="704"/>
      <c r="T485" s="705"/>
      <c r="U485" s="706"/>
      <c r="V485" s="339"/>
      <c r="W485" s="707"/>
      <c r="X485" s="707"/>
      <c r="Y485" s="342"/>
      <c r="Z485" s="342"/>
      <c r="AA485" s="342"/>
      <c r="AB485" s="479"/>
      <c r="AC485" s="224"/>
      <c r="AD485" s="724"/>
      <c r="AE485" s="715"/>
      <c r="AF485" s="715"/>
      <c r="AG485" s="714"/>
      <c r="AH485" s="726"/>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row>
    <row r="486" spans="1:60" ht="12.75">
      <c r="A486" s="681"/>
      <c r="B486" s="703"/>
      <c r="C486" s="699"/>
      <c r="D486" s="681"/>
      <c r="E486" s="324"/>
      <c r="F486" s="325"/>
      <c r="G486" s="700"/>
      <c r="H486" s="700"/>
      <c r="I486" s="334"/>
      <c r="J486" s="73"/>
      <c r="K486" s="330"/>
      <c r="L486" s="331"/>
      <c r="M486" s="704"/>
      <c r="N486" s="704"/>
      <c r="O486" s="334"/>
      <c r="P486" s="334"/>
      <c r="Q486" s="73"/>
      <c r="R486" s="704"/>
      <c r="S486" s="704"/>
      <c r="T486" s="705"/>
      <c r="U486" s="706"/>
      <c r="V486" s="339"/>
      <c r="W486" s="707"/>
      <c r="X486" s="707"/>
      <c r="Y486" s="342"/>
      <c r="Z486" s="342"/>
      <c r="AA486" s="342"/>
      <c r="AB486" s="479"/>
      <c r="AC486" s="224"/>
      <c r="AD486" s="722"/>
      <c r="AE486" s="740" t="s">
        <v>996</v>
      </c>
      <c r="AF486" s="713"/>
      <c r="AG486" s="712"/>
      <c r="AH486" s="723"/>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row>
    <row r="487" spans="1:60" ht="12.75">
      <c r="A487" s="681"/>
      <c r="B487" s="703"/>
      <c r="C487" s="699"/>
      <c r="D487" s="681"/>
      <c r="E487" s="324"/>
      <c r="F487" s="325"/>
      <c r="G487" s="700"/>
      <c r="H487" s="700"/>
      <c r="I487" s="334"/>
      <c r="J487" s="73"/>
      <c r="K487" s="330"/>
      <c r="L487" s="331"/>
      <c r="M487" s="704"/>
      <c r="N487" s="704"/>
      <c r="O487" s="334"/>
      <c r="P487" s="334"/>
      <c r="Q487" s="73"/>
      <c r="R487" s="704"/>
      <c r="S487" s="704"/>
      <c r="T487" s="705"/>
      <c r="U487" s="706"/>
      <c r="V487" s="339"/>
      <c r="W487" s="707"/>
      <c r="X487" s="707"/>
      <c r="Y487" s="342"/>
      <c r="Z487" s="342"/>
      <c r="AA487" s="342"/>
      <c r="AB487" s="479"/>
      <c r="AC487" s="224"/>
      <c r="AD487" s="728"/>
      <c r="AE487" s="729" t="s">
        <v>997</v>
      </c>
      <c r="AF487" s="729"/>
      <c r="AG487" s="730"/>
      <c r="AH487" s="73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row>
    <row r="488" spans="1:60" ht="12.75">
      <c r="A488" s="681"/>
      <c r="B488" s="703"/>
      <c r="C488" s="699"/>
      <c r="D488" s="681"/>
      <c r="E488" s="324"/>
      <c r="F488" s="325"/>
      <c r="G488" s="700"/>
      <c r="H488" s="700"/>
      <c r="I488" s="334"/>
      <c r="J488" s="73"/>
      <c r="K488" s="330"/>
      <c r="L488" s="331"/>
      <c r="M488" s="704"/>
      <c r="N488" s="704"/>
      <c r="O488" s="334"/>
      <c r="P488" s="334"/>
      <c r="Q488" s="73"/>
      <c r="R488" s="704"/>
      <c r="S488" s="704"/>
      <c r="T488" s="705"/>
      <c r="U488" s="706"/>
      <c r="V488" s="339"/>
      <c r="W488" s="707"/>
      <c r="X488" s="707"/>
      <c r="Y488" s="342"/>
      <c r="Z488" s="342"/>
      <c r="AA488" s="342"/>
      <c r="AB488" s="479"/>
      <c r="AC488" s="224"/>
      <c r="AD488" s="728" t="s">
        <v>998</v>
      </c>
      <c r="AE488" s="729" t="s">
        <v>999</v>
      </c>
      <c r="AF488" s="729"/>
      <c r="AG488" s="730"/>
      <c r="AH488" s="73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row>
    <row r="489" spans="1:60" ht="12.75">
      <c r="A489" s="681"/>
      <c r="B489" s="703"/>
      <c r="C489" s="699"/>
      <c r="D489" s="681"/>
      <c r="E489" s="324"/>
      <c r="F489" s="325"/>
      <c r="G489" s="700"/>
      <c r="H489" s="700"/>
      <c r="I489" s="334"/>
      <c r="J489" s="73"/>
      <c r="K489" s="330"/>
      <c r="L489" s="331"/>
      <c r="M489" s="704"/>
      <c r="N489" s="704"/>
      <c r="O489" s="334"/>
      <c r="P489" s="334"/>
      <c r="Q489" s="73"/>
      <c r="R489" s="704"/>
      <c r="S489" s="704"/>
      <c r="T489" s="705"/>
      <c r="U489" s="706"/>
      <c r="V489" s="339"/>
      <c r="W489" s="707"/>
      <c r="X489" s="707"/>
      <c r="Y489" s="342"/>
      <c r="Z489" s="342"/>
      <c r="AA489" s="342"/>
      <c r="AB489" s="479"/>
      <c r="AC489" s="224"/>
      <c r="AD489" s="728" t="s">
        <v>1000</v>
      </c>
      <c r="AE489" s="729" t="s">
        <v>1001</v>
      </c>
      <c r="AF489" s="729" t="s">
        <v>1002</v>
      </c>
      <c r="AG489" s="730">
        <f>VFHL*19.6%</f>
        <v>4.48252</v>
      </c>
      <c r="AH489" s="731">
        <f>VFHL*13%</f>
        <v>2.9731</v>
      </c>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row>
    <row r="490" spans="1:60" ht="12.75">
      <c r="A490" s="681"/>
      <c r="B490" s="703"/>
      <c r="C490" s="699"/>
      <c r="D490" s="681"/>
      <c r="E490" s="324"/>
      <c r="F490" s="325"/>
      <c r="G490" s="700"/>
      <c r="H490" s="700"/>
      <c r="I490" s="334"/>
      <c r="J490" s="73"/>
      <c r="K490" s="330"/>
      <c r="L490" s="331"/>
      <c r="M490" s="704"/>
      <c r="N490" s="704"/>
      <c r="O490" s="334"/>
      <c r="P490" s="334"/>
      <c r="Q490" s="73"/>
      <c r="R490" s="704"/>
      <c r="S490" s="704"/>
      <c r="T490" s="705"/>
      <c r="U490" s="706"/>
      <c r="V490" s="339"/>
      <c r="W490" s="707"/>
      <c r="X490" s="707"/>
      <c r="Y490" s="342"/>
      <c r="Z490" s="342"/>
      <c r="AA490" s="342"/>
      <c r="AB490" s="479"/>
      <c r="AC490" s="224"/>
      <c r="AD490" s="728"/>
      <c r="AE490" s="729" t="s">
        <v>1003</v>
      </c>
      <c r="AF490" s="733"/>
      <c r="AG490" s="730"/>
      <c r="AH490" s="73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row>
    <row r="491" spans="1:60" ht="12.75">
      <c r="A491" s="681"/>
      <c r="B491" s="703"/>
      <c r="C491" s="699"/>
      <c r="D491" s="681"/>
      <c r="E491" s="324"/>
      <c r="F491" s="325"/>
      <c r="G491" s="700"/>
      <c r="H491" s="700"/>
      <c r="I491" s="334"/>
      <c r="J491" s="73"/>
      <c r="K491" s="330"/>
      <c r="L491" s="331"/>
      <c r="M491" s="704"/>
      <c r="N491" s="704"/>
      <c r="O491" s="334"/>
      <c r="P491" s="334"/>
      <c r="Q491" s="73"/>
      <c r="R491" s="704"/>
      <c r="S491" s="704"/>
      <c r="T491" s="705"/>
      <c r="U491" s="706"/>
      <c r="V491" s="339"/>
      <c r="W491" s="707"/>
      <c r="X491" s="707"/>
      <c r="Y491" s="342"/>
      <c r="Z491" s="342"/>
      <c r="AA491" s="342"/>
      <c r="AB491" s="479"/>
      <c r="AC491" s="224"/>
      <c r="AD491" s="728"/>
      <c r="AE491" s="729" t="s">
        <v>1004</v>
      </c>
      <c r="AF491" s="733"/>
      <c r="AG491" s="730"/>
      <c r="AH491" s="73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row>
    <row r="492" spans="1:60" ht="12.75">
      <c r="A492" s="681"/>
      <c r="B492" s="703"/>
      <c r="C492" s="699"/>
      <c r="D492" s="681"/>
      <c r="E492" s="324"/>
      <c r="F492" s="325"/>
      <c r="G492" s="700"/>
      <c r="H492" s="700"/>
      <c r="I492" s="334"/>
      <c r="J492" s="73"/>
      <c r="K492" s="330"/>
      <c r="L492" s="331"/>
      <c r="M492" s="704"/>
      <c r="N492" s="704"/>
      <c r="O492" s="334"/>
      <c r="P492" s="334"/>
      <c r="Q492" s="73"/>
      <c r="R492" s="704"/>
      <c r="S492" s="704"/>
      <c r="T492" s="705"/>
      <c r="U492" s="706"/>
      <c r="V492" s="339"/>
      <c r="W492" s="707"/>
      <c r="X492" s="707"/>
      <c r="Y492" s="342"/>
      <c r="Z492" s="342"/>
      <c r="AA492" s="342"/>
      <c r="AB492" s="479"/>
      <c r="AC492" s="224"/>
      <c r="AD492" s="728"/>
      <c r="AE492" s="729" t="s">
        <v>1005</v>
      </c>
      <c r="AF492" s="733"/>
      <c r="AG492" s="730"/>
      <c r="AH492" s="73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row>
    <row r="493" spans="1:60" ht="12.75">
      <c r="A493" s="681"/>
      <c r="B493" s="703"/>
      <c r="C493" s="699"/>
      <c r="D493" s="681"/>
      <c r="E493" s="324"/>
      <c r="F493" s="325"/>
      <c r="G493" s="700"/>
      <c r="H493" s="700"/>
      <c r="I493" s="334"/>
      <c r="J493" s="73"/>
      <c r="K493" s="330"/>
      <c r="L493" s="331"/>
      <c r="M493" s="704"/>
      <c r="N493" s="704"/>
      <c r="O493" s="334"/>
      <c r="P493" s="334"/>
      <c r="Q493" s="73"/>
      <c r="R493" s="704"/>
      <c r="S493" s="704"/>
      <c r="T493" s="705"/>
      <c r="U493" s="706"/>
      <c r="V493" s="339"/>
      <c r="W493" s="707"/>
      <c r="X493" s="707"/>
      <c r="Y493" s="342"/>
      <c r="Z493" s="342"/>
      <c r="AA493" s="342"/>
      <c r="AB493" s="479"/>
      <c r="AC493" s="224"/>
      <c r="AD493" s="728"/>
      <c r="AE493" s="729" t="s">
        <v>1006</v>
      </c>
      <c r="AF493" s="733"/>
      <c r="AG493" s="730"/>
      <c r="AH493" s="73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row>
    <row r="494" spans="1:60" ht="12.75">
      <c r="A494" s="681"/>
      <c r="B494" s="703"/>
      <c r="C494" s="699"/>
      <c r="D494" s="681"/>
      <c r="E494" s="324"/>
      <c r="F494" s="325"/>
      <c r="G494" s="700"/>
      <c r="H494" s="700"/>
      <c r="I494" s="334"/>
      <c r="J494" s="73"/>
      <c r="K494" s="330"/>
      <c r="L494" s="331"/>
      <c r="M494" s="704"/>
      <c r="N494" s="704"/>
      <c r="O494" s="334"/>
      <c r="P494" s="334"/>
      <c r="Q494" s="73"/>
      <c r="R494" s="704"/>
      <c r="S494" s="704"/>
      <c r="T494" s="705"/>
      <c r="U494" s="706"/>
      <c r="V494" s="339"/>
      <c r="W494" s="707"/>
      <c r="X494" s="707"/>
      <c r="Y494" s="342"/>
      <c r="Z494" s="342"/>
      <c r="AA494" s="342"/>
      <c r="AB494" s="479"/>
      <c r="AC494" s="224"/>
      <c r="AD494" s="728"/>
      <c r="AE494" s="729" t="s">
        <v>1007</v>
      </c>
      <c r="AF494" s="733"/>
      <c r="AG494" s="730"/>
      <c r="AH494" s="73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row>
    <row r="495" spans="1:60" ht="12.75">
      <c r="A495" s="681"/>
      <c r="B495" s="703"/>
      <c r="C495" s="699"/>
      <c r="D495" s="681"/>
      <c r="E495" s="324"/>
      <c r="F495" s="325"/>
      <c r="G495" s="700"/>
      <c r="H495" s="700"/>
      <c r="I495" s="334"/>
      <c r="J495" s="73"/>
      <c r="K495" s="330"/>
      <c r="L495" s="331"/>
      <c r="M495" s="704"/>
      <c r="N495" s="704"/>
      <c r="O495" s="334"/>
      <c r="P495" s="334"/>
      <c r="Q495" s="73"/>
      <c r="R495" s="704"/>
      <c r="S495" s="704"/>
      <c r="T495" s="705"/>
      <c r="U495" s="706"/>
      <c r="V495" s="339"/>
      <c r="W495" s="707"/>
      <c r="X495" s="707"/>
      <c r="Y495" s="342"/>
      <c r="Z495" s="342"/>
      <c r="AA495" s="342"/>
      <c r="AB495" s="479"/>
      <c r="AC495" s="224"/>
      <c r="AD495" s="728"/>
      <c r="AE495" s="729" t="s">
        <v>1008</v>
      </c>
      <c r="AF495" s="733"/>
      <c r="AG495" s="730"/>
      <c r="AH495" s="73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row>
    <row r="496" spans="1:60" ht="12.75">
      <c r="A496" s="681"/>
      <c r="B496" s="703"/>
      <c r="C496" s="699"/>
      <c r="D496" s="681"/>
      <c r="E496" s="324"/>
      <c r="F496" s="325"/>
      <c r="G496" s="700"/>
      <c r="H496" s="700"/>
      <c r="I496" s="334"/>
      <c r="J496" s="73"/>
      <c r="K496" s="330"/>
      <c r="L496" s="331"/>
      <c r="M496" s="704"/>
      <c r="N496" s="704"/>
      <c r="O496" s="334"/>
      <c r="P496" s="334"/>
      <c r="Q496" s="73"/>
      <c r="R496" s="704"/>
      <c r="S496" s="704"/>
      <c r="T496" s="705"/>
      <c r="U496" s="706"/>
      <c r="V496" s="339"/>
      <c r="W496" s="707"/>
      <c r="X496" s="707"/>
      <c r="Y496" s="342"/>
      <c r="Z496" s="342"/>
      <c r="AA496" s="342"/>
      <c r="AB496" s="479"/>
      <c r="AC496" s="224"/>
      <c r="AD496" s="728"/>
      <c r="AE496" s="729" t="s">
        <v>1009</v>
      </c>
      <c r="AF496" s="733"/>
      <c r="AG496" s="730"/>
      <c r="AH496" s="73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row>
    <row r="497" spans="1:60" ht="12.75">
      <c r="A497" s="681"/>
      <c r="B497" s="703"/>
      <c r="C497" s="699"/>
      <c r="D497" s="681"/>
      <c r="E497" s="324"/>
      <c r="F497" s="325"/>
      <c r="G497" s="700"/>
      <c r="H497" s="700"/>
      <c r="I497" s="334"/>
      <c r="J497" s="73"/>
      <c r="K497" s="330"/>
      <c r="L497" s="331"/>
      <c r="M497" s="704"/>
      <c r="N497" s="704"/>
      <c r="O497" s="334"/>
      <c r="P497" s="334"/>
      <c r="Q497" s="73"/>
      <c r="R497" s="704"/>
      <c r="S497" s="704"/>
      <c r="T497" s="705"/>
      <c r="U497" s="706"/>
      <c r="V497" s="339"/>
      <c r="W497" s="707"/>
      <c r="X497" s="707"/>
      <c r="Y497" s="342"/>
      <c r="Z497" s="342"/>
      <c r="AA497" s="342"/>
      <c r="AB497" s="479"/>
      <c r="AC497" s="224"/>
      <c r="AD497" s="728"/>
      <c r="AE497" s="729" t="s">
        <v>1010</v>
      </c>
      <c r="AF497" s="733"/>
      <c r="AG497" s="730"/>
      <c r="AH497" s="73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row>
    <row r="498" spans="1:60" ht="12.75">
      <c r="A498" s="681"/>
      <c r="B498" s="703"/>
      <c r="C498" s="699"/>
      <c r="D498" s="681"/>
      <c r="E498" s="324"/>
      <c r="F498" s="325"/>
      <c r="G498" s="700"/>
      <c r="H498" s="700"/>
      <c r="I498" s="334"/>
      <c r="J498" s="73"/>
      <c r="K498" s="330"/>
      <c r="L498" s="331"/>
      <c r="M498" s="704"/>
      <c r="N498" s="704"/>
      <c r="O498" s="334"/>
      <c r="P498" s="334"/>
      <c r="Q498" s="73"/>
      <c r="R498" s="704"/>
      <c r="S498" s="704"/>
      <c r="T498" s="705"/>
      <c r="U498" s="706"/>
      <c r="V498" s="339"/>
      <c r="W498" s="707"/>
      <c r="X498" s="707"/>
      <c r="Y498" s="342"/>
      <c r="Z498" s="342"/>
      <c r="AA498" s="342"/>
      <c r="AB498" s="479"/>
      <c r="AC498" s="224"/>
      <c r="AD498" s="724"/>
      <c r="AE498" s="715" t="s">
        <v>1011</v>
      </c>
      <c r="AF498" s="725"/>
      <c r="AG498" s="714"/>
      <c r="AH498" s="726"/>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row>
    <row r="499" spans="1:60" ht="12.75">
      <c r="A499" s="681"/>
      <c r="B499" s="703"/>
      <c r="C499" s="699"/>
      <c r="D499" s="681"/>
      <c r="E499" s="324"/>
      <c r="F499" s="325"/>
      <c r="G499" s="700"/>
      <c r="H499" s="700"/>
      <c r="I499" s="334"/>
      <c r="J499" s="73"/>
      <c r="K499" s="330"/>
      <c r="L499" s="331"/>
      <c r="M499" s="704"/>
      <c r="N499" s="704"/>
      <c r="O499" s="334"/>
      <c r="P499" s="334"/>
      <c r="Q499" s="73"/>
      <c r="R499" s="704"/>
      <c r="S499" s="704"/>
      <c r="T499" s="705"/>
      <c r="U499" s="706"/>
      <c r="V499" s="339"/>
      <c r="W499" s="707"/>
      <c r="X499" s="707"/>
      <c r="Y499" s="342"/>
      <c r="Z499" s="342"/>
      <c r="AA499" s="342"/>
      <c r="AB499" s="479"/>
      <c r="AC499" s="224"/>
      <c r="AD499" s="722" t="s">
        <v>1012</v>
      </c>
      <c r="AE499" s="741" t="s">
        <v>1013</v>
      </c>
      <c r="AF499" s="713" t="s">
        <v>1014</v>
      </c>
      <c r="AG499" s="712">
        <f>VFGO*19.6%</f>
        <v>5.16852</v>
      </c>
      <c r="AH499" s="723">
        <f>VFGO*13%</f>
        <v>3.4281</v>
      </c>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row>
    <row r="500" spans="1:60" ht="12.75">
      <c r="A500" s="681"/>
      <c r="B500" s="703"/>
      <c r="C500" s="699"/>
      <c r="D500" s="681"/>
      <c r="E500" s="324"/>
      <c r="F500" s="325"/>
      <c r="G500" s="700"/>
      <c r="H500" s="700"/>
      <c r="I500" s="334"/>
      <c r="J500" s="73"/>
      <c r="K500" s="330"/>
      <c r="L500" s="331"/>
      <c r="M500" s="704"/>
      <c r="N500" s="704"/>
      <c r="O500" s="334"/>
      <c r="P500" s="334"/>
      <c r="Q500" s="73"/>
      <c r="R500" s="704"/>
      <c r="S500" s="704"/>
      <c r="T500" s="705"/>
      <c r="U500" s="706"/>
      <c r="V500" s="339"/>
      <c r="W500" s="707"/>
      <c r="X500" s="707"/>
      <c r="Y500" s="342"/>
      <c r="Z500" s="342"/>
      <c r="AA500" s="342"/>
      <c r="AB500" s="479"/>
      <c r="AC500" s="224"/>
      <c r="AD500" s="724" t="s">
        <v>1015</v>
      </c>
      <c r="AE500" s="742"/>
      <c r="AF500" s="725"/>
      <c r="AG500" s="714"/>
      <c r="AH500" s="726"/>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row>
    <row r="501" spans="1:60" ht="12.75">
      <c r="A501" s="681"/>
      <c r="B501" s="703"/>
      <c r="C501" s="699"/>
      <c r="D501" s="681"/>
      <c r="E501" s="743"/>
      <c r="F501" s="325"/>
      <c r="G501" s="700"/>
      <c r="H501" s="700"/>
      <c r="I501" s="334"/>
      <c r="J501" s="73"/>
      <c r="K501" s="744"/>
      <c r="L501" s="331"/>
      <c r="M501" s="704"/>
      <c r="N501" s="704"/>
      <c r="O501" s="334"/>
      <c r="P501" s="334"/>
      <c r="Q501" s="73"/>
      <c r="R501" s="166"/>
      <c r="S501" s="704"/>
      <c r="T501" s="705"/>
      <c r="U501" s="706"/>
      <c r="V501" s="339"/>
      <c r="W501" s="707"/>
      <c r="X501" s="707"/>
      <c r="Y501" s="342"/>
      <c r="Z501" s="342"/>
      <c r="AA501" s="342"/>
      <c r="AB501" s="479"/>
      <c r="AC501" s="224"/>
      <c r="AD501" s="745"/>
      <c r="AE501" s="746"/>
      <c r="AF501" s="747"/>
      <c r="AG501" s="748"/>
      <c r="AH501" s="748"/>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row>
    <row r="502" spans="1:60" ht="12.75">
      <c r="A502" s="681"/>
      <c r="B502" s="749"/>
      <c r="C502" s="749"/>
      <c r="D502" s="399"/>
      <c r="E502" s="463"/>
      <c r="F502" s="41"/>
      <c r="G502" s="571"/>
      <c r="H502" s="571"/>
      <c r="I502" s="41"/>
      <c r="J502" s="41"/>
      <c r="K502" s="404"/>
      <c r="L502" s="404"/>
      <c r="M502" s="41"/>
      <c r="N502" s="41"/>
      <c r="O502" s="139"/>
      <c r="P502" s="41"/>
      <c r="Q502" s="41"/>
      <c r="R502" s="147"/>
      <c r="S502" s="704"/>
      <c r="T502" s="705"/>
      <c r="U502" s="706"/>
      <c r="V502" s="339"/>
      <c r="W502" s="707"/>
      <c r="X502" s="707"/>
      <c r="Y502" s="342"/>
      <c r="Z502" s="342"/>
      <c r="AA502" s="342"/>
      <c r="AB502" s="479"/>
      <c r="AC502" s="224"/>
      <c r="AD502" s="183"/>
      <c r="AE502" s="139"/>
      <c r="AF502" s="184"/>
      <c r="AG502" s="640"/>
      <c r="AH502" s="640"/>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row>
    <row r="503" spans="1:60" ht="12.75">
      <c r="A503" s="681"/>
      <c r="B503" s="749"/>
      <c r="C503" s="749"/>
      <c r="D503" s="399"/>
      <c r="E503" s="463"/>
      <c r="F503" s="41"/>
      <c r="G503" s="571"/>
      <c r="H503" s="571"/>
      <c r="I503" s="41"/>
      <c r="J503" s="41"/>
      <c r="K503" s="404"/>
      <c r="L503" s="404"/>
      <c r="M503" s="41"/>
      <c r="N503" s="41"/>
      <c r="O503" s="139"/>
      <c r="P503" s="41"/>
      <c r="Q503" s="41"/>
      <c r="R503" s="147"/>
      <c r="S503" s="704"/>
      <c r="T503" s="491"/>
      <c r="U503" s="492"/>
      <c r="V503" s="159"/>
      <c r="W503" s="160"/>
      <c r="X503" s="160"/>
      <c r="Y503" s="161"/>
      <c r="Z503" s="161"/>
      <c r="AA503" s="342"/>
      <c r="AB503" s="479"/>
      <c r="AC503" s="224"/>
      <c r="AD503" s="183"/>
      <c r="AE503" s="139"/>
      <c r="AF503" s="184"/>
      <c r="AG503" s="640"/>
      <c r="AH503" s="640"/>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row>
    <row r="504" spans="1:60" ht="12.75">
      <c r="A504" s="681"/>
      <c r="B504" s="749"/>
      <c r="C504" s="749"/>
      <c r="D504" s="399"/>
      <c r="E504" s="463"/>
      <c r="F504" s="41"/>
      <c r="G504" s="571"/>
      <c r="H504" s="571"/>
      <c r="I504" s="41"/>
      <c r="J504" s="41"/>
      <c r="K504" s="404"/>
      <c r="L504" s="404"/>
      <c r="M504" s="41"/>
      <c r="N504" s="41"/>
      <c r="O504" s="139"/>
      <c r="P504" s="41"/>
      <c r="Q504" s="41"/>
      <c r="R504" s="147"/>
      <c r="S504" s="704"/>
      <c r="T504" s="750"/>
      <c r="U504" s="751"/>
      <c r="AA504" s="342"/>
      <c r="AB504" s="479"/>
      <c r="AC504" s="224"/>
      <c r="AD504" s="183"/>
      <c r="AE504" s="139"/>
      <c r="AF504" s="184"/>
      <c r="AG504" s="640"/>
      <c r="AH504" s="640"/>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row>
    <row r="505" spans="1:60" ht="12.75">
      <c r="A505" s="399"/>
      <c r="B505" s="749"/>
      <c r="C505" s="749"/>
      <c r="D505" s="399"/>
      <c r="E505" s="463"/>
      <c r="F505" s="41"/>
      <c r="G505" s="571"/>
      <c r="H505" s="571"/>
      <c r="I505" s="41"/>
      <c r="J505" s="41"/>
      <c r="K505" s="404"/>
      <c r="L505" s="404"/>
      <c r="M505" s="41"/>
      <c r="N505" s="41"/>
      <c r="O505" s="139"/>
      <c r="P505" s="41"/>
      <c r="Q505" s="41"/>
      <c r="R505" s="147"/>
      <c r="S505" s="704"/>
      <c r="T505" s="750"/>
      <c r="U505" s="751"/>
      <c r="AA505" s="342"/>
      <c r="AB505" s="479"/>
      <c r="AC505" s="224"/>
      <c r="AD505" s="183"/>
      <c r="AE505" s="139"/>
      <c r="AF505" s="184"/>
      <c r="AG505" s="640"/>
      <c r="AH505" s="640"/>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row>
    <row r="506" spans="1:60" ht="12.75">
      <c r="A506" s="399"/>
      <c r="B506" s="749"/>
      <c r="C506" s="749"/>
      <c r="D506" s="399"/>
      <c r="E506" s="463"/>
      <c r="F506" s="41"/>
      <c r="G506" s="571"/>
      <c r="H506" s="571"/>
      <c r="I506" s="41"/>
      <c r="J506" s="41"/>
      <c r="K506" s="404"/>
      <c r="L506" s="404"/>
      <c r="M506" s="41"/>
      <c r="N506" s="41"/>
      <c r="O506" s="139"/>
      <c r="P506" s="41"/>
      <c r="Q506" s="41"/>
      <c r="R506" s="147"/>
      <c r="S506" s="166"/>
      <c r="T506" s="750"/>
      <c r="U506" s="751"/>
      <c r="AA506" s="161"/>
      <c r="AB506" s="29"/>
      <c r="AC506" s="224"/>
      <c r="AD506" s="183"/>
      <c r="AE506" s="139"/>
      <c r="AF506" s="184"/>
      <c r="AG506" s="640"/>
      <c r="AH506" s="640"/>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row>
    <row r="507" spans="1:60" ht="12.75">
      <c r="A507" s="399"/>
      <c r="B507" s="749"/>
      <c r="C507" s="749"/>
      <c r="D507" s="399"/>
      <c r="E507" s="463"/>
      <c r="F507" s="41"/>
      <c r="G507" s="571"/>
      <c r="H507" s="571"/>
      <c r="I507" s="41"/>
      <c r="J507" s="41"/>
      <c r="K507" s="404"/>
      <c r="L507" s="404"/>
      <c r="M507" s="41"/>
      <c r="N507" s="41"/>
      <c r="O507" s="139"/>
      <c r="P507" s="41"/>
      <c r="Q507" s="41"/>
      <c r="R507" s="147"/>
      <c r="S507" s="147"/>
      <c r="T507" s="750"/>
      <c r="U507" s="751"/>
      <c r="AC507" s="224"/>
      <c r="AD507" s="183"/>
      <c r="AE507" s="139"/>
      <c r="AF507" s="148"/>
      <c r="AG507" s="640"/>
      <c r="AH507" s="640"/>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row>
    <row r="508" spans="1:60" ht="12.75">
      <c r="A508" s="399"/>
      <c r="B508" s="749"/>
      <c r="C508" s="749"/>
      <c r="D508" s="399"/>
      <c r="E508" s="463"/>
      <c r="F508" s="41"/>
      <c r="G508" s="571"/>
      <c r="H508" s="571"/>
      <c r="I508" s="41"/>
      <c r="J508" s="41"/>
      <c r="K508" s="404"/>
      <c r="L508" s="404"/>
      <c r="M508" s="41"/>
      <c r="N508" s="41"/>
      <c r="O508" s="139"/>
      <c r="P508" s="41"/>
      <c r="Q508" s="41"/>
      <c r="R508" s="147"/>
      <c r="S508" s="147"/>
      <c r="T508" s="750"/>
      <c r="U508" s="751"/>
      <c r="AC508" s="224"/>
      <c r="AD508" s="183"/>
      <c r="AE508" s="139"/>
      <c r="AF508" s="148"/>
      <c r="AG508" s="640"/>
      <c r="AH508" s="640"/>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row>
    <row r="509" spans="1:60" ht="12.75">
      <c r="A509" s="293"/>
      <c r="B509" s="749"/>
      <c r="C509" s="749"/>
      <c r="D509" s="399"/>
      <c r="E509" s="463"/>
      <c r="F509" s="41"/>
      <c r="G509" s="571"/>
      <c r="H509" s="571"/>
      <c r="I509" s="41"/>
      <c r="J509" s="41"/>
      <c r="K509" s="404"/>
      <c r="L509" s="404"/>
      <c r="M509" s="41"/>
      <c r="N509" s="41"/>
      <c r="O509" s="139"/>
      <c r="P509" s="41"/>
      <c r="Q509" s="41"/>
      <c r="R509" s="147"/>
      <c r="S509" s="147"/>
      <c r="T509" s="750"/>
      <c r="U509" s="751"/>
      <c r="AC509" s="224"/>
      <c r="AD509" s="183"/>
      <c r="AE509" s="139"/>
      <c r="AF509" s="148"/>
      <c r="AG509" s="640"/>
      <c r="AH509" s="640"/>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row>
    <row r="510" spans="1:60" ht="15.75">
      <c r="A510" s="293"/>
      <c r="B510" s="749"/>
      <c r="C510" s="749"/>
      <c r="D510" s="399"/>
      <c r="E510" s="463"/>
      <c r="F510" s="41"/>
      <c r="G510" s="571"/>
      <c r="H510" s="571"/>
      <c r="I510" s="41"/>
      <c r="J510" s="41"/>
      <c r="K510" s="404"/>
      <c r="L510" s="404"/>
      <c r="M510" s="41"/>
      <c r="N510" s="41"/>
      <c r="O510" s="139"/>
      <c r="P510" s="41"/>
      <c r="Q510" s="41"/>
      <c r="R510" s="147"/>
      <c r="S510" s="147"/>
      <c r="T510" s="750"/>
      <c r="U510" s="751"/>
      <c r="AC510" s="224"/>
      <c r="AD510" s="183"/>
      <c r="AE510" s="184"/>
      <c r="AF510" s="752"/>
      <c r="AG510" s="752"/>
      <c r="AH510" s="753"/>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row>
    <row r="511" spans="1:60" ht="15.75">
      <c r="A511" s="293"/>
      <c r="B511" s="749"/>
      <c r="C511" s="749"/>
      <c r="D511" s="399"/>
      <c r="E511" s="463"/>
      <c r="F511" s="41"/>
      <c r="G511" s="571"/>
      <c r="H511" s="571"/>
      <c r="I511" s="41"/>
      <c r="J511" s="41"/>
      <c r="K511" s="404"/>
      <c r="L511" s="404"/>
      <c r="M511" s="41"/>
      <c r="N511" s="41"/>
      <c r="O511" s="139"/>
      <c r="P511" s="41"/>
      <c r="Q511" s="41"/>
      <c r="R511" s="147"/>
      <c r="S511" s="147"/>
      <c r="T511" s="750"/>
      <c r="U511" s="751"/>
      <c r="AC511" s="224"/>
      <c r="AD511" s="183"/>
      <c r="AE511" s="184"/>
      <c r="AF511" s="752"/>
      <c r="AG511" s="752"/>
      <c r="AH511" s="753"/>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row>
    <row r="512" spans="1:60" ht="12.75">
      <c r="A512" s="293"/>
      <c r="B512" s="749"/>
      <c r="C512" s="749"/>
      <c r="D512" s="399"/>
      <c r="E512" s="463"/>
      <c r="F512" s="41"/>
      <c r="G512" s="571"/>
      <c r="H512" s="571"/>
      <c r="I512" s="41"/>
      <c r="J512" s="41"/>
      <c r="K512" s="404"/>
      <c r="L512" s="404"/>
      <c r="M512" s="41"/>
      <c r="N512" s="41"/>
      <c r="O512" s="139"/>
      <c r="P512" s="41"/>
      <c r="Q512" s="41"/>
      <c r="R512" s="147"/>
      <c r="S512" s="147"/>
      <c r="T512" s="750"/>
      <c r="U512" s="751"/>
      <c r="AC512" s="224"/>
      <c r="AD512" s="147"/>
      <c r="AE512" s="139"/>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row>
    <row r="513" spans="1:60" ht="12.75">
      <c r="A513" s="293"/>
      <c r="B513" s="749"/>
      <c r="C513" s="749"/>
      <c r="D513" s="399"/>
      <c r="E513" s="463"/>
      <c r="F513" s="41"/>
      <c r="G513" s="571"/>
      <c r="H513" s="571"/>
      <c r="I513" s="41"/>
      <c r="J513" s="41"/>
      <c r="K513" s="404"/>
      <c r="L513" s="404"/>
      <c r="M513" s="41"/>
      <c r="N513" s="41"/>
      <c r="O513" s="139"/>
      <c r="P513" s="41"/>
      <c r="Q513" s="41"/>
      <c r="R513" s="147"/>
      <c r="S513" s="147"/>
      <c r="T513" s="750"/>
      <c r="U513" s="751"/>
      <c r="AC513" s="224"/>
      <c r="AD513" s="754" t="s">
        <v>1016</v>
      </c>
      <c r="AE513" s="755" t="s">
        <v>1017</v>
      </c>
      <c r="AF513" s="755" t="s">
        <v>1018</v>
      </c>
      <c r="AG513" s="755" t="s">
        <v>1019</v>
      </c>
      <c r="AH513" s="778" t="s">
        <v>1020</v>
      </c>
      <c r="AI513" s="778"/>
      <c r="AJ513" s="756"/>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row>
    <row r="514" spans="1:60" ht="12.75">
      <c r="A514" s="293"/>
      <c r="B514" s="749"/>
      <c r="C514" s="749"/>
      <c r="D514" s="399"/>
      <c r="E514" s="463"/>
      <c r="F514" s="41"/>
      <c r="G514" s="571"/>
      <c r="H514" s="571"/>
      <c r="I514" s="41"/>
      <c r="J514" s="41"/>
      <c r="K514" s="404"/>
      <c r="L514" s="404"/>
      <c r="M514" s="41"/>
      <c r="N514" s="41"/>
      <c r="O514" s="139"/>
      <c r="P514" s="41"/>
      <c r="Q514" s="41"/>
      <c r="R514" s="147"/>
      <c r="S514" s="147"/>
      <c r="T514" s="750"/>
      <c r="U514" s="751"/>
      <c r="AC514" s="224"/>
      <c r="AD514" s="757" t="s">
        <v>1021</v>
      </c>
      <c r="AE514" s="758" t="s">
        <v>1022</v>
      </c>
      <c r="AF514" s="758" t="s">
        <v>1023</v>
      </c>
      <c r="AG514" s="758" t="s">
        <v>1024</v>
      </c>
      <c r="AH514" s="759" t="s">
        <v>1025</v>
      </c>
      <c r="AI514" s="759" t="s">
        <v>1026</v>
      </c>
      <c r="AJ514" s="756"/>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row>
    <row r="515" spans="1:60" ht="25.5" customHeight="1">
      <c r="A515" s="293"/>
      <c r="B515" s="749"/>
      <c r="C515" s="749"/>
      <c r="D515" s="399"/>
      <c r="E515" s="463"/>
      <c r="F515" s="41"/>
      <c r="G515" s="571"/>
      <c r="H515" s="571"/>
      <c r="I515" s="41"/>
      <c r="J515" s="41"/>
      <c r="K515" s="404"/>
      <c r="L515" s="404"/>
      <c r="M515" s="41"/>
      <c r="N515" s="41"/>
      <c r="O515" s="139"/>
      <c r="P515" s="41"/>
      <c r="Q515" s="41"/>
      <c r="R515" s="147"/>
      <c r="S515" s="147"/>
      <c r="T515" s="750"/>
      <c r="U515" s="751"/>
      <c r="AC515" s="224"/>
      <c r="AD515" s="760"/>
      <c r="AE515" s="759"/>
      <c r="AF515" s="759"/>
      <c r="AG515" s="761"/>
      <c r="AH515" s="761"/>
      <c r="AI515" s="761"/>
      <c r="AJ515" s="762"/>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row>
    <row r="516" spans="1:60" ht="18" customHeight="1">
      <c r="A516" s="293"/>
      <c r="B516" s="749"/>
      <c r="C516" s="749"/>
      <c r="D516" s="399"/>
      <c r="E516" s="463"/>
      <c r="F516" s="41"/>
      <c r="G516" s="571"/>
      <c r="H516" s="571"/>
      <c r="I516" s="41"/>
      <c r="J516" s="41"/>
      <c r="K516" s="404"/>
      <c r="L516" s="404"/>
      <c r="M516" s="41"/>
      <c r="N516" s="41"/>
      <c r="O516" s="139"/>
      <c r="P516" s="41"/>
      <c r="Q516" s="41"/>
      <c r="R516" s="147"/>
      <c r="S516" s="147"/>
      <c r="T516" s="750"/>
      <c r="U516" s="751"/>
      <c r="AC516" s="224"/>
      <c r="AD516" s="760" t="s">
        <v>1027</v>
      </c>
      <c r="AE516" s="763" t="s">
        <v>1028</v>
      </c>
      <c r="AF516" s="759" t="s">
        <v>1029</v>
      </c>
      <c r="AG516" s="761">
        <v>0.6</v>
      </c>
      <c r="AH516" s="761">
        <f>(($Q$88*100/19.6)+$AG$516)*19.6%</f>
        <v>12.101040000000001</v>
      </c>
      <c r="AI516" s="761">
        <f>(($R$88*100/13)+$AG$516)*13%</f>
        <v>8.0262</v>
      </c>
      <c r="AJ516" s="764">
        <v>5909</v>
      </c>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row>
    <row r="517" spans="1:60" ht="12.75">
      <c r="A517" s="293"/>
      <c r="B517" s="749"/>
      <c r="C517" s="749"/>
      <c r="D517" s="399"/>
      <c r="E517" s="463"/>
      <c r="F517" s="41"/>
      <c r="G517" s="571"/>
      <c r="H517" s="571"/>
      <c r="I517" s="41"/>
      <c r="J517" s="41"/>
      <c r="K517" s="404"/>
      <c r="L517" s="404"/>
      <c r="M517" s="41"/>
      <c r="N517" s="41"/>
      <c r="O517" s="139"/>
      <c r="P517" s="41"/>
      <c r="Q517" s="41"/>
      <c r="R517" s="147"/>
      <c r="S517" s="147"/>
      <c r="T517" s="750"/>
      <c r="U517" s="751"/>
      <c r="AC517" s="224"/>
      <c r="AD517" s="765" t="s">
        <v>1030</v>
      </c>
      <c r="AE517" s="755" t="s">
        <v>1031</v>
      </c>
      <c r="AF517" s="755"/>
      <c r="AG517" s="754"/>
      <c r="AH517" s="754"/>
      <c r="AI517" s="754"/>
      <c r="AJ517" s="764"/>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250"/>
    </row>
    <row r="518" spans="1:60" ht="12.75">
      <c r="A518" s="293"/>
      <c r="B518" s="749"/>
      <c r="C518" s="749"/>
      <c r="D518" s="399"/>
      <c r="E518" s="463"/>
      <c r="F518" s="41"/>
      <c r="G518" s="571"/>
      <c r="H518" s="571"/>
      <c r="I518" s="41"/>
      <c r="J518" s="41"/>
      <c r="K518" s="404"/>
      <c r="L518" s="404"/>
      <c r="M518" s="41"/>
      <c r="N518" s="41"/>
      <c r="O518" s="139"/>
      <c r="P518" s="41"/>
      <c r="Q518" s="41"/>
      <c r="R518" s="147"/>
      <c r="S518" s="147"/>
      <c r="T518" s="750"/>
      <c r="U518" s="751"/>
      <c r="AC518" s="224"/>
      <c r="AD518" s="766" t="s">
        <v>1032</v>
      </c>
      <c r="AE518" s="767" t="s">
        <v>1033</v>
      </c>
      <c r="AF518" s="767" t="s">
        <v>1034</v>
      </c>
      <c r="AG518" s="768">
        <v>0.6</v>
      </c>
      <c r="AH518" s="768">
        <f>((Q98*100/19.6)+$AG$518)*19.6%</f>
        <v>17.3068</v>
      </c>
      <c r="AI518" s="768">
        <f>(($R$92*100/13)+$AG$518)*13%</f>
        <v>11.349000000000002</v>
      </c>
      <c r="AJ518" s="764">
        <v>5928</v>
      </c>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250"/>
    </row>
    <row r="519" spans="1:60" ht="12.75">
      <c r="A519" s="293"/>
      <c r="B519" s="749"/>
      <c r="C519" s="749"/>
      <c r="D519" s="399"/>
      <c r="E519" s="463"/>
      <c r="F519" s="41"/>
      <c r="G519" s="571"/>
      <c r="H519" s="571"/>
      <c r="I519" s="41"/>
      <c r="J519" s="41"/>
      <c r="K519" s="404"/>
      <c r="L519" s="404"/>
      <c r="M519" s="41"/>
      <c r="N519" s="41"/>
      <c r="O519" s="139"/>
      <c r="P519" s="41"/>
      <c r="Q519" s="41"/>
      <c r="R519" s="147"/>
      <c r="S519" s="147"/>
      <c r="T519" s="750"/>
      <c r="U519" s="751"/>
      <c r="AC519" s="224"/>
      <c r="AD519" s="769" t="s">
        <v>1035</v>
      </c>
      <c r="AE519" s="770"/>
      <c r="AF519" s="758"/>
      <c r="AG519" s="757"/>
      <c r="AH519" s="757"/>
      <c r="AI519" s="757"/>
      <c r="AJ519" s="764"/>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250"/>
    </row>
    <row r="520" spans="1:60" ht="12.75">
      <c r="A520" s="293"/>
      <c r="B520" s="749"/>
      <c r="C520" s="749"/>
      <c r="D520" s="399"/>
      <c r="E520" s="463"/>
      <c r="F520" s="41"/>
      <c r="G520" s="571"/>
      <c r="H520" s="571"/>
      <c r="I520" s="41"/>
      <c r="J520" s="41"/>
      <c r="K520" s="404"/>
      <c r="L520" s="404"/>
      <c r="M520" s="41"/>
      <c r="N520" s="41"/>
      <c r="O520" s="139"/>
      <c r="P520" s="41"/>
      <c r="Q520" s="41"/>
      <c r="R520" s="147"/>
      <c r="S520" s="147"/>
      <c r="T520" s="750"/>
      <c r="U520" s="751"/>
      <c r="AC520" s="224"/>
      <c r="AD520" s="765" t="s">
        <v>1036</v>
      </c>
      <c r="AE520" s="755"/>
      <c r="AF520" s="755"/>
      <c r="AG520" s="754"/>
      <c r="AH520" s="754"/>
      <c r="AI520" s="754"/>
      <c r="AJ520" s="764"/>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250"/>
    </row>
    <row r="521" spans="1:60" ht="12.75">
      <c r="A521" s="293"/>
      <c r="B521" s="749"/>
      <c r="C521" s="749"/>
      <c r="D521" s="399"/>
      <c r="E521" s="463"/>
      <c r="F521" s="41"/>
      <c r="G521" s="571"/>
      <c r="H521" s="571"/>
      <c r="I521" s="41"/>
      <c r="J521" s="41"/>
      <c r="K521" s="404"/>
      <c r="L521" s="404"/>
      <c r="M521" s="41"/>
      <c r="N521" s="41"/>
      <c r="O521" s="139"/>
      <c r="P521" s="41"/>
      <c r="Q521" s="41"/>
      <c r="R521" s="147"/>
      <c r="S521" s="147"/>
      <c r="T521" s="750"/>
      <c r="U521" s="751"/>
      <c r="AC521" s="224"/>
      <c r="AD521" s="766" t="s">
        <v>1037</v>
      </c>
      <c r="AE521" s="767" t="s">
        <v>1038</v>
      </c>
      <c r="AF521" s="767" t="s">
        <v>1039</v>
      </c>
      <c r="AG521" s="768">
        <v>0.6</v>
      </c>
      <c r="AH521" s="768">
        <f>((Q105*100/19.6)+$AG$521)*19.6%</f>
        <v>17.3068</v>
      </c>
      <c r="AI521" s="768">
        <f>((R105*100/13)+$AG$521)*13%</f>
        <v>11.349000000000002</v>
      </c>
      <c r="AJ521" s="764">
        <v>5960</v>
      </c>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250"/>
    </row>
    <row r="522" spans="1:60" ht="12.75">
      <c r="A522" s="293"/>
      <c r="B522" s="749"/>
      <c r="C522" s="749"/>
      <c r="D522" s="399"/>
      <c r="E522" s="463"/>
      <c r="F522" s="41"/>
      <c r="G522" s="571"/>
      <c r="H522" s="571"/>
      <c r="I522" s="41"/>
      <c r="J522" s="41"/>
      <c r="K522" s="404"/>
      <c r="L522" s="404"/>
      <c r="M522" s="41"/>
      <c r="N522" s="41"/>
      <c r="O522" s="139"/>
      <c r="P522" s="41"/>
      <c r="Q522" s="41"/>
      <c r="R522" s="147"/>
      <c r="S522" s="147"/>
      <c r="T522" s="750"/>
      <c r="U522" s="751"/>
      <c r="AC522" s="224"/>
      <c r="AD522" s="766" t="s">
        <v>1040</v>
      </c>
      <c r="AE522" s="767"/>
      <c r="AF522" s="767"/>
      <c r="AG522" s="768"/>
      <c r="AH522" s="768"/>
      <c r="AI522" s="768"/>
      <c r="AJ522" s="764"/>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250"/>
    </row>
    <row r="523" spans="1:60" ht="12.75">
      <c r="A523" s="293"/>
      <c r="B523" s="749"/>
      <c r="C523" s="749"/>
      <c r="D523" s="399"/>
      <c r="E523" s="463"/>
      <c r="F523" s="41"/>
      <c r="G523" s="571"/>
      <c r="H523" s="571"/>
      <c r="I523" s="41"/>
      <c r="J523" s="41"/>
      <c r="K523" s="404"/>
      <c r="L523" s="404"/>
      <c r="M523" s="41"/>
      <c r="N523" s="41"/>
      <c r="O523" s="139"/>
      <c r="P523" s="41"/>
      <c r="Q523" s="41"/>
      <c r="R523" s="147"/>
      <c r="S523" s="147"/>
      <c r="T523" s="750"/>
      <c r="U523" s="751"/>
      <c r="AC523" s="224"/>
      <c r="AD523" s="769"/>
      <c r="AE523" s="758"/>
      <c r="AF523" s="758"/>
      <c r="AG523" s="757"/>
      <c r="AH523" s="757"/>
      <c r="AI523" s="757"/>
      <c r="AJ523" s="764"/>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250"/>
    </row>
    <row r="524" spans="1:60" ht="12.75">
      <c r="A524" s="293"/>
      <c r="B524" s="749"/>
      <c r="C524" s="749"/>
      <c r="D524" s="399"/>
      <c r="E524" s="463"/>
      <c r="F524" s="41"/>
      <c r="G524" s="571"/>
      <c r="H524" s="571"/>
      <c r="I524" s="41"/>
      <c r="J524" s="41"/>
      <c r="K524" s="404"/>
      <c r="L524" s="404"/>
      <c r="M524" s="41"/>
      <c r="N524" s="41"/>
      <c r="O524" s="139"/>
      <c r="P524" s="41"/>
      <c r="Q524" s="41"/>
      <c r="R524" s="147"/>
      <c r="S524" s="147"/>
      <c r="T524" s="750"/>
      <c r="U524" s="751"/>
      <c r="AC524" s="224"/>
      <c r="AD524" s="765" t="s">
        <v>1041</v>
      </c>
      <c r="AE524" s="755" t="s">
        <v>1042</v>
      </c>
      <c r="AF524" s="755"/>
      <c r="AG524" s="754"/>
      <c r="AH524" s="754"/>
      <c r="AI524" s="754"/>
      <c r="AJ524" s="764"/>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250"/>
    </row>
    <row r="525" spans="1:60" ht="12.75">
      <c r="A525" s="293"/>
      <c r="B525" s="749"/>
      <c r="C525" s="749"/>
      <c r="D525" s="399"/>
      <c r="E525" s="463"/>
      <c r="F525" s="41"/>
      <c r="G525" s="571"/>
      <c r="H525" s="571"/>
      <c r="I525" s="41"/>
      <c r="J525" s="41"/>
      <c r="K525" s="404"/>
      <c r="L525" s="404"/>
      <c r="M525" s="41"/>
      <c r="N525" s="41"/>
      <c r="O525" s="139"/>
      <c r="P525" s="41"/>
      <c r="Q525" s="41"/>
      <c r="R525" s="147"/>
      <c r="S525" s="147"/>
      <c r="T525" s="750"/>
      <c r="U525" s="751"/>
      <c r="AC525" s="224"/>
      <c r="AD525" s="766" t="s">
        <v>1043</v>
      </c>
      <c r="AE525" s="767" t="s">
        <v>1044</v>
      </c>
      <c r="AF525" s="767" t="s">
        <v>1045</v>
      </c>
      <c r="AG525" s="768">
        <v>0.6</v>
      </c>
      <c r="AH525" s="768">
        <f>(($Q$96*100/19.6)+$AG$525)*19.6%</f>
        <v>18.294639999999998</v>
      </c>
      <c r="AI525" s="768">
        <f>(($R$96*100/13)+$AG$525)*13%</f>
        <v>12.004199999999999</v>
      </c>
      <c r="AJ525" s="764">
        <v>5923</v>
      </c>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250"/>
    </row>
    <row r="526" spans="1:60" ht="12.75">
      <c r="A526" s="293"/>
      <c r="B526" s="749"/>
      <c r="C526" s="749"/>
      <c r="D526" s="399"/>
      <c r="E526" s="463"/>
      <c r="F526" s="41"/>
      <c r="G526" s="571"/>
      <c r="H526" s="571"/>
      <c r="I526" s="41"/>
      <c r="J526" s="41"/>
      <c r="K526" s="404"/>
      <c r="L526" s="404"/>
      <c r="M526" s="41"/>
      <c r="N526" s="41"/>
      <c r="O526" s="139"/>
      <c r="P526" s="41"/>
      <c r="Q526" s="41"/>
      <c r="R526" s="147"/>
      <c r="S526" s="147"/>
      <c r="T526" s="750"/>
      <c r="U526" s="751"/>
      <c r="AC526" s="224"/>
      <c r="AD526" s="766" t="s">
        <v>1046</v>
      </c>
      <c r="AE526" s="767" t="s">
        <v>1047</v>
      </c>
      <c r="AF526" s="767"/>
      <c r="AG526" s="768"/>
      <c r="AH526" s="768"/>
      <c r="AI526" s="768"/>
      <c r="AJ526" s="764"/>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250"/>
    </row>
    <row r="527" spans="1:60" ht="12.75">
      <c r="A527" s="293"/>
      <c r="B527" s="749"/>
      <c r="C527" s="749"/>
      <c r="D527" s="399"/>
      <c r="E527" s="463"/>
      <c r="F527" s="41"/>
      <c r="G527" s="571"/>
      <c r="H527" s="571"/>
      <c r="I527" s="41"/>
      <c r="J527" s="41"/>
      <c r="K527" s="404"/>
      <c r="L527" s="404"/>
      <c r="M527" s="41"/>
      <c r="N527" s="41"/>
      <c r="O527" s="139"/>
      <c r="P527" s="41"/>
      <c r="Q527" s="41"/>
      <c r="R527" s="147"/>
      <c r="S527" s="147"/>
      <c r="T527" s="750"/>
      <c r="U527" s="751"/>
      <c r="AC527" s="224"/>
      <c r="AD527" s="769"/>
      <c r="AE527" s="758" t="s">
        <v>1048</v>
      </c>
      <c r="AF527" s="758"/>
      <c r="AG527" s="757"/>
      <c r="AH527" s="757"/>
      <c r="AI527" s="757"/>
      <c r="AJ527" s="764"/>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250"/>
    </row>
    <row r="528" spans="1:60" ht="12.75">
      <c r="A528" s="293"/>
      <c r="B528" s="749"/>
      <c r="C528" s="749"/>
      <c r="D528" s="399"/>
      <c r="E528" s="463"/>
      <c r="F528" s="41"/>
      <c r="G528" s="571"/>
      <c r="H528" s="571"/>
      <c r="I528" s="41"/>
      <c r="J528" s="41"/>
      <c r="K528" s="404"/>
      <c r="L528" s="404"/>
      <c r="M528" s="41"/>
      <c r="N528" s="41"/>
      <c r="O528" s="139"/>
      <c r="P528" s="41"/>
      <c r="Q528" s="41"/>
      <c r="R528" s="147"/>
      <c r="S528" s="147"/>
      <c r="T528" s="750"/>
      <c r="U528" s="751"/>
      <c r="AC528" s="224"/>
      <c r="AD528" s="765" t="s">
        <v>1049</v>
      </c>
      <c r="AE528" s="755" t="s">
        <v>1050</v>
      </c>
      <c r="AF528" s="755" t="s">
        <v>1051</v>
      </c>
      <c r="AG528" s="754">
        <v>0.5</v>
      </c>
      <c r="AH528" s="754">
        <f>(($Q$115*100/19.6)+$AG$528)*19.6%</f>
        <v>5.33316</v>
      </c>
      <c r="AI528" s="754">
        <f>(($R$115*100/13)+$AG$528)*13%</f>
        <v>3.5373</v>
      </c>
      <c r="AJ528" s="764">
        <v>5901</v>
      </c>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250"/>
    </row>
    <row r="529" spans="1:60" ht="12.75">
      <c r="A529" s="293"/>
      <c r="B529" s="749"/>
      <c r="C529" s="749"/>
      <c r="D529" s="399"/>
      <c r="E529" s="463"/>
      <c r="F529" s="41"/>
      <c r="G529" s="571"/>
      <c r="H529" s="571"/>
      <c r="I529" s="41"/>
      <c r="J529" s="41"/>
      <c r="K529" s="404"/>
      <c r="L529" s="404"/>
      <c r="M529" s="41"/>
      <c r="N529" s="41"/>
      <c r="O529" s="139"/>
      <c r="P529" s="41"/>
      <c r="Q529" s="41"/>
      <c r="R529" s="147"/>
      <c r="S529" s="147"/>
      <c r="T529" s="750"/>
      <c r="U529" s="751"/>
      <c r="AC529" s="224"/>
      <c r="AD529" s="769"/>
      <c r="AE529" s="758" t="s">
        <v>1052</v>
      </c>
      <c r="AF529" s="758"/>
      <c r="AG529" s="757"/>
      <c r="AH529" s="757"/>
      <c r="AI529" s="757"/>
      <c r="AJ529" s="764"/>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250"/>
    </row>
    <row r="530" spans="1:60" ht="12.75">
      <c r="A530" s="293"/>
      <c r="B530" s="749"/>
      <c r="C530" s="749"/>
      <c r="D530" s="399"/>
      <c r="E530" s="463"/>
      <c r="F530" s="41"/>
      <c r="G530" s="571"/>
      <c r="H530" s="571"/>
      <c r="I530" s="41"/>
      <c r="J530" s="41"/>
      <c r="K530" s="404"/>
      <c r="L530" s="404"/>
      <c r="M530" s="41"/>
      <c r="N530" s="41"/>
      <c r="O530" s="139"/>
      <c r="P530" s="41"/>
      <c r="Q530" s="41"/>
      <c r="R530" s="147"/>
      <c r="S530" s="147"/>
      <c r="T530" s="750"/>
      <c r="U530" s="751"/>
      <c r="AC530" s="224"/>
      <c r="AD530" s="765" t="s">
        <v>1053</v>
      </c>
      <c r="AE530" s="755" t="s">
        <v>1054</v>
      </c>
      <c r="AF530" s="755" t="s">
        <v>1055</v>
      </c>
      <c r="AG530" s="754">
        <v>0.5</v>
      </c>
      <c r="AH530" s="754">
        <f>(($Q$116*100/19.6)+$AG$530)*19.6%</f>
        <v>6.07796</v>
      </c>
      <c r="AI530" s="754">
        <f>(($R$116*100/13)+$AG$530)*13%</f>
        <v>4.031300000000001</v>
      </c>
      <c r="AJ530" s="764">
        <v>5919</v>
      </c>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250"/>
    </row>
    <row r="531" spans="1:60" ht="12.75">
      <c r="A531" s="293"/>
      <c r="B531" s="749"/>
      <c r="C531" s="749"/>
      <c r="D531" s="399"/>
      <c r="E531" s="463"/>
      <c r="F531" s="41"/>
      <c r="G531" s="571"/>
      <c r="H531" s="571"/>
      <c r="I531" s="41"/>
      <c r="J531" s="41"/>
      <c r="K531" s="404"/>
      <c r="L531" s="404"/>
      <c r="M531" s="41"/>
      <c r="N531" s="41"/>
      <c r="O531" s="139"/>
      <c r="P531" s="41"/>
      <c r="Q531" s="41"/>
      <c r="R531" s="147"/>
      <c r="S531" s="147"/>
      <c r="T531" s="750"/>
      <c r="U531" s="751"/>
      <c r="AC531" s="224"/>
      <c r="AD531" s="769" t="s">
        <v>1056</v>
      </c>
      <c r="AE531" s="758" t="s">
        <v>1057</v>
      </c>
      <c r="AF531" s="758"/>
      <c r="AG531" s="757"/>
      <c r="AH531" s="757"/>
      <c r="AI531" s="757"/>
      <c r="AJ531" s="764"/>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250"/>
    </row>
    <row r="532" spans="1:60" ht="12.75">
      <c r="A532" s="293"/>
      <c r="B532" s="749"/>
      <c r="C532" s="749"/>
      <c r="D532" s="399"/>
      <c r="E532" s="463"/>
      <c r="F532" s="41"/>
      <c r="G532" s="571"/>
      <c r="H532" s="571"/>
      <c r="I532" s="41"/>
      <c r="J532" s="41"/>
      <c r="K532" s="404"/>
      <c r="L532" s="404"/>
      <c r="M532" s="41"/>
      <c r="N532" s="41"/>
      <c r="O532" s="139"/>
      <c r="P532" s="41"/>
      <c r="Q532" s="41"/>
      <c r="R532" s="147"/>
      <c r="S532" s="147"/>
      <c r="T532" s="750"/>
      <c r="U532" s="751"/>
      <c r="AC532" s="224"/>
      <c r="AD532" s="771" t="s">
        <v>1058</v>
      </c>
      <c r="AE532" s="772" t="s">
        <v>1059</v>
      </c>
      <c r="AF532" s="772" t="s">
        <v>1060</v>
      </c>
      <c r="AG532" s="773">
        <v>0.5</v>
      </c>
      <c r="AH532" s="761">
        <f>(($Q$118*100/19.6)+$AG$532)*19.6%</f>
        <v>17.128440000000005</v>
      </c>
      <c r="AI532" s="761">
        <f>(($R$118*100/13)+$AG$532)*13%</f>
        <v>11.3607</v>
      </c>
      <c r="AJ532" s="764">
        <v>5905</v>
      </c>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250"/>
    </row>
    <row r="533" spans="1:60" ht="12.75">
      <c r="A533" s="293"/>
      <c r="B533" s="749"/>
      <c r="C533" s="749"/>
      <c r="D533" s="399"/>
      <c r="E533" s="463"/>
      <c r="F533" s="41"/>
      <c r="G533" s="571"/>
      <c r="H533" s="571"/>
      <c r="I533" s="41"/>
      <c r="J533" s="41"/>
      <c r="K533" s="404"/>
      <c r="L533" s="404"/>
      <c r="M533" s="41"/>
      <c r="N533" s="41"/>
      <c r="O533" s="139"/>
      <c r="P533" s="41"/>
      <c r="Q533" s="41"/>
      <c r="R533" s="147"/>
      <c r="S533" s="147"/>
      <c r="T533" s="750"/>
      <c r="U533" s="751"/>
      <c r="AC533" s="224"/>
      <c r="AD533" s="774" t="s">
        <v>1061</v>
      </c>
      <c r="AE533" s="759" t="s">
        <v>1062</v>
      </c>
      <c r="AF533" s="759" t="s">
        <v>1063</v>
      </c>
      <c r="AG533" s="761">
        <v>0.5</v>
      </c>
      <c r="AH533" s="761">
        <f>(($Q$138*100/19.6)+$AG$533)*19.6%</f>
        <v>13.75136</v>
      </c>
      <c r="AI533" s="761">
        <f>(($R$138*100/13)+$AG$533)*13%</f>
        <v>9.1208</v>
      </c>
      <c r="AJ533" s="764">
        <v>5950</v>
      </c>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250"/>
    </row>
    <row r="534" spans="1:60" ht="12.75">
      <c r="A534" s="293"/>
      <c r="B534" s="749"/>
      <c r="C534" s="749"/>
      <c r="D534" s="399"/>
      <c r="E534" s="463"/>
      <c r="F534" s="41"/>
      <c r="G534" s="571"/>
      <c r="H534" s="571"/>
      <c r="I534" s="41"/>
      <c r="J534" s="41"/>
      <c r="K534" s="404"/>
      <c r="L534" s="404"/>
      <c r="M534" s="41"/>
      <c r="N534" s="41"/>
      <c r="O534" s="139"/>
      <c r="P534" s="41"/>
      <c r="Q534" s="41"/>
      <c r="R534" s="147"/>
      <c r="S534" s="147"/>
      <c r="T534" s="750"/>
      <c r="U534" s="751"/>
      <c r="AC534" s="224"/>
      <c r="AD534" s="765" t="s">
        <v>1064</v>
      </c>
      <c r="AE534" s="755" t="s">
        <v>1065</v>
      </c>
      <c r="AF534" s="755" t="s">
        <v>1066</v>
      </c>
      <c r="AG534" s="754">
        <v>0.52</v>
      </c>
      <c r="AH534" s="754">
        <f>(($Q$141*100/19.6)+$AG$534)*19.6%</f>
        <v>6.6934</v>
      </c>
      <c r="AI534" s="754">
        <f>(($R$141*100/13)+$AG$534)*13%</f>
        <v>4.439500000000001</v>
      </c>
      <c r="AJ534" s="764">
        <v>5921</v>
      </c>
      <c r="AK534" s="41"/>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250"/>
    </row>
    <row r="535" spans="1:60" ht="12.75">
      <c r="A535" s="293"/>
      <c r="B535" s="749"/>
      <c r="C535" s="749"/>
      <c r="D535" s="399"/>
      <c r="E535" s="463"/>
      <c r="F535" s="41"/>
      <c r="G535" s="571"/>
      <c r="H535" s="571"/>
      <c r="I535" s="41"/>
      <c r="J535" s="41"/>
      <c r="K535" s="404"/>
      <c r="L535" s="404"/>
      <c r="M535" s="41"/>
      <c r="N535" s="41"/>
      <c r="O535" s="139"/>
      <c r="P535" s="41"/>
      <c r="Q535" s="41"/>
      <c r="R535" s="147"/>
      <c r="S535" s="147"/>
      <c r="T535" s="750"/>
      <c r="U535" s="751"/>
      <c r="AC535" s="224"/>
      <c r="AD535" s="769"/>
      <c r="AE535" s="758" t="s">
        <v>1067</v>
      </c>
      <c r="AF535" s="758"/>
      <c r="AG535" s="757"/>
      <c r="AH535" s="757"/>
      <c r="AI535" s="757"/>
      <c r="AJ535" s="764"/>
      <c r="AK535" s="41"/>
      <c r="AL535" s="41"/>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250"/>
    </row>
    <row r="536" spans="1:60" ht="12.75">
      <c r="A536" s="293"/>
      <c r="B536" s="749"/>
      <c r="C536" s="749"/>
      <c r="D536" s="399"/>
      <c r="E536" s="463"/>
      <c r="F536" s="41"/>
      <c r="G536" s="571"/>
      <c r="H536" s="571"/>
      <c r="I536" s="41"/>
      <c r="J536" s="41"/>
      <c r="K536" s="404"/>
      <c r="L536" s="404"/>
      <c r="M536" s="41"/>
      <c r="N536" s="41"/>
      <c r="O536" s="139"/>
      <c r="P536" s="41"/>
      <c r="Q536" s="41"/>
      <c r="R536" s="147"/>
      <c r="S536" s="147"/>
      <c r="T536" s="750"/>
      <c r="U536" s="751"/>
      <c r="AC536" s="224"/>
      <c r="AD536" s="774" t="s">
        <v>1068</v>
      </c>
      <c r="AE536" s="759" t="s">
        <v>1069</v>
      </c>
      <c r="AF536" s="759" t="s">
        <v>1070</v>
      </c>
      <c r="AG536" s="761">
        <v>0.52</v>
      </c>
      <c r="AH536" s="761">
        <f>(($Q$143*100/19.6)+$AG$536)*19.6%</f>
        <v>13.755279999999999</v>
      </c>
      <c r="AI536" s="761">
        <f>(($R$143*100/13)+$AG$536)*13%</f>
        <v>9.1234</v>
      </c>
      <c r="AJ536" s="764">
        <v>5925</v>
      </c>
      <c r="AK536" s="41"/>
      <c r="AL536" s="41"/>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250"/>
    </row>
    <row r="537" spans="1:60" ht="12.75">
      <c r="A537" s="293"/>
      <c r="B537" s="749"/>
      <c r="C537" s="749"/>
      <c r="D537" s="399"/>
      <c r="E537" s="463"/>
      <c r="F537" s="41"/>
      <c r="G537" s="571"/>
      <c r="H537" s="571"/>
      <c r="I537" s="41"/>
      <c r="J537" s="41"/>
      <c r="K537" s="404"/>
      <c r="L537" s="404"/>
      <c r="M537" s="41"/>
      <c r="N537" s="41"/>
      <c r="O537" s="139"/>
      <c r="P537" s="41"/>
      <c r="Q537" s="41"/>
      <c r="R537" s="147"/>
      <c r="S537" s="147"/>
      <c r="T537" s="750"/>
      <c r="U537" s="751"/>
      <c r="AC537" s="224"/>
      <c r="AD537" s="765" t="s">
        <v>1071</v>
      </c>
      <c r="AE537" s="755" t="s">
        <v>1072</v>
      </c>
      <c r="AF537" s="755" t="s">
        <v>1073</v>
      </c>
      <c r="AG537" s="754">
        <v>0.52</v>
      </c>
      <c r="AH537" s="754">
        <f>(($Q$158*100/19.6)+$AG$537)*19.6%</f>
        <v>6.379800000000001</v>
      </c>
      <c r="AI537" s="754">
        <f>(($R$158*100/13)+$AG$537)*13%</f>
        <v>4.2315000000000005</v>
      </c>
      <c r="AJ537" s="764">
        <v>5936</v>
      </c>
      <c r="AK537" s="41"/>
      <c r="AL537" s="41"/>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250"/>
    </row>
    <row r="538" spans="1:60" ht="12.75">
      <c r="A538" s="293"/>
      <c r="B538" s="749"/>
      <c r="C538" s="749"/>
      <c r="D538" s="399"/>
      <c r="E538" s="463"/>
      <c r="F538" s="41"/>
      <c r="G538" s="571"/>
      <c r="H538" s="571"/>
      <c r="I538" s="41"/>
      <c r="J538" s="41"/>
      <c r="K538" s="404"/>
      <c r="L538" s="404"/>
      <c r="M538" s="41"/>
      <c r="N538" s="41"/>
      <c r="O538" s="139"/>
      <c r="P538" s="41"/>
      <c r="Q538" s="41"/>
      <c r="R538" s="147"/>
      <c r="S538" s="147"/>
      <c r="T538" s="750"/>
      <c r="U538" s="751"/>
      <c r="AC538" s="224"/>
      <c r="AD538" s="769"/>
      <c r="AE538" s="758"/>
      <c r="AF538" s="758"/>
      <c r="AG538" s="757"/>
      <c r="AH538" s="757"/>
      <c r="AI538" s="757"/>
      <c r="AJ538" s="764"/>
      <c r="AK538" s="41"/>
      <c r="AL538" s="41"/>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250"/>
    </row>
    <row r="539" spans="1:60" ht="12.75">
      <c r="A539" s="293"/>
      <c r="B539" s="749"/>
      <c r="C539" s="749"/>
      <c r="D539" s="399"/>
      <c r="E539" s="463"/>
      <c r="F539" s="41"/>
      <c r="G539" s="571"/>
      <c r="H539" s="571"/>
      <c r="I539" s="41"/>
      <c r="J539" s="41"/>
      <c r="K539" s="404"/>
      <c r="L539" s="404"/>
      <c r="M539" s="41"/>
      <c r="N539" s="41"/>
      <c r="O539" s="139"/>
      <c r="P539" s="41"/>
      <c r="Q539" s="41"/>
      <c r="R539" s="147"/>
      <c r="S539" s="147"/>
      <c r="T539" s="750"/>
      <c r="U539" s="751"/>
      <c r="AC539" s="224"/>
      <c r="AD539" s="765" t="s">
        <v>1074</v>
      </c>
      <c r="AE539" s="755" t="s">
        <v>1075</v>
      </c>
      <c r="AF539" s="755" t="s">
        <v>1076</v>
      </c>
      <c r="AG539" s="754">
        <v>0.52</v>
      </c>
      <c r="AH539" s="754">
        <f>(($Q$165*100/19.6)+$AG$539)*19.6%</f>
        <v>6.10736</v>
      </c>
      <c r="AI539" s="754">
        <f>(($R$165*100/13)+$AG$539)*13%</f>
        <v>4.0508</v>
      </c>
      <c r="AJ539" s="764">
        <v>5911</v>
      </c>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250"/>
    </row>
    <row r="540" spans="1:60" ht="12.75">
      <c r="A540" s="293"/>
      <c r="B540" s="749"/>
      <c r="C540" s="749"/>
      <c r="D540" s="399"/>
      <c r="E540" s="463"/>
      <c r="F540" s="41"/>
      <c r="G540" s="571"/>
      <c r="H540" s="571"/>
      <c r="I540" s="41"/>
      <c r="J540" s="41"/>
      <c r="K540" s="404"/>
      <c r="L540" s="404"/>
      <c r="M540" s="41"/>
      <c r="N540" s="41"/>
      <c r="O540" s="139"/>
      <c r="P540" s="41"/>
      <c r="Q540" s="41"/>
      <c r="R540" s="147"/>
      <c r="S540" s="147"/>
      <c r="T540" s="750"/>
      <c r="U540" s="751"/>
      <c r="AC540" s="224"/>
      <c r="AD540" s="769"/>
      <c r="AE540" s="758"/>
      <c r="AF540" s="758"/>
      <c r="AG540" s="757"/>
      <c r="AH540" s="757"/>
      <c r="AI540" s="757"/>
      <c r="AJ540" s="764"/>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250"/>
    </row>
    <row r="541" spans="1:60" ht="12.75">
      <c r="A541" s="293"/>
      <c r="B541" s="749"/>
      <c r="C541" s="749"/>
      <c r="D541" s="399"/>
      <c r="E541" s="463"/>
      <c r="F541" s="41"/>
      <c r="G541" s="571"/>
      <c r="H541" s="571"/>
      <c r="I541" s="41"/>
      <c r="J541" s="41"/>
      <c r="K541" s="404"/>
      <c r="L541" s="404"/>
      <c r="M541" s="41"/>
      <c r="N541" s="41"/>
      <c r="O541" s="139"/>
      <c r="P541" s="41"/>
      <c r="Q541" s="41"/>
      <c r="R541" s="147"/>
      <c r="S541" s="147"/>
      <c r="T541" s="750"/>
      <c r="U541" s="751"/>
      <c r="AC541" s="224"/>
      <c r="AD541" s="765" t="s">
        <v>1077</v>
      </c>
      <c r="AE541" s="755" t="s">
        <v>1078</v>
      </c>
      <c r="AF541" s="755" t="s">
        <v>1079</v>
      </c>
      <c r="AG541" s="754">
        <v>0.52</v>
      </c>
      <c r="AH541" s="754">
        <f>(($Q$162*100/19.6)+$AG$541)*19.6%</f>
        <v>13.44168</v>
      </c>
      <c r="AI541" s="754">
        <f>(($R$162*100/13)+$AG$541)*13%</f>
        <v>8.9154</v>
      </c>
      <c r="AJ541" s="764">
        <v>5937</v>
      </c>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250"/>
    </row>
    <row r="542" spans="1:60" ht="12.75">
      <c r="A542" s="293"/>
      <c r="B542" s="749"/>
      <c r="C542" s="749"/>
      <c r="D542" s="399"/>
      <c r="E542" s="463"/>
      <c r="F542" s="41"/>
      <c r="G542" s="571"/>
      <c r="H542" s="571"/>
      <c r="I542" s="41"/>
      <c r="J542" s="41"/>
      <c r="K542" s="404"/>
      <c r="L542" s="404"/>
      <c r="M542" s="41"/>
      <c r="N542" s="41"/>
      <c r="O542" s="139"/>
      <c r="P542" s="41"/>
      <c r="Q542" s="41"/>
      <c r="R542" s="147"/>
      <c r="S542" s="147"/>
      <c r="T542" s="750"/>
      <c r="U542" s="751"/>
      <c r="AC542" s="224"/>
      <c r="AD542" s="769"/>
      <c r="AE542" s="758" t="s">
        <v>1080</v>
      </c>
      <c r="AF542" s="758"/>
      <c r="AG542" s="757"/>
      <c r="AH542" s="757"/>
      <c r="AI542" s="757"/>
      <c r="AJ542" s="764"/>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250"/>
    </row>
    <row r="543" spans="1:60" ht="12.75">
      <c r="A543" s="293"/>
      <c r="B543" s="749"/>
      <c r="C543" s="749"/>
      <c r="D543" s="399"/>
      <c r="E543" s="463"/>
      <c r="F543" s="41"/>
      <c r="G543" s="571"/>
      <c r="H543" s="571"/>
      <c r="I543" s="41"/>
      <c r="J543" s="41"/>
      <c r="K543" s="404"/>
      <c r="L543" s="404"/>
      <c r="M543" s="41"/>
      <c r="N543" s="41"/>
      <c r="O543" s="139"/>
      <c r="P543" s="41"/>
      <c r="Q543" s="41"/>
      <c r="R543" s="147"/>
      <c r="S543" s="147"/>
      <c r="T543" s="750"/>
      <c r="U543" s="751"/>
      <c r="AC543" s="224"/>
      <c r="AD543" s="760" t="s">
        <v>1081</v>
      </c>
      <c r="AE543" s="759" t="s">
        <v>1082</v>
      </c>
      <c r="AF543" s="759" t="s">
        <v>1083</v>
      </c>
      <c r="AG543" s="754">
        <v>0.52</v>
      </c>
      <c r="AH543" s="761">
        <f>(($Q$167*100/19.6)+$AG$543)*19.6%</f>
        <v>13.339759999999998</v>
      </c>
      <c r="AI543" s="761">
        <f>(($R$167*100/13)+$AG$543)*13%</f>
        <v>8.8478</v>
      </c>
      <c r="AJ543" s="764">
        <v>5934</v>
      </c>
      <c r="AK543" s="41"/>
      <c r="AL543" s="41"/>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250"/>
    </row>
    <row r="544" spans="1:60" ht="12.75">
      <c r="A544" s="293"/>
      <c r="B544" s="749"/>
      <c r="C544" s="749"/>
      <c r="D544" s="399"/>
      <c r="E544" s="463"/>
      <c r="F544" s="41"/>
      <c r="G544" s="571"/>
      <c r="H544" s="571"/>
      <c r="I544" s="41"/>
      <c r="J544" s="41"/>
      <c r="K544" s="404"/>
      <c r="L544" s="404"/>
      <c r="M544" s="41"/>
      <c r="N544" s="41"/>
      <c r="O544" s="139"/>
      <c r="P544" s="41"/>
      <c r="Q544" s="41"/>
      <c r="R544" s="147"/>
      <c r="S544" s="147"/>
      <c r="T544" s="750"/>
      <c r="U544" s="751"/>
      <c r="AC544" s="224"/>
      <c r="AD544" s="774" t="s">
        <v>1084</v>
      </c>
      <c r="AE544" s="759" t="s">
        <v>1085</v>
      </c>
      <c r="AF544" s="759" t="s">
        <v>1086</v>
      </c>
      <c r="AG544" s="754">
        <v>0.52</v>
      </c>
      <c r="AH544" s="761">
        <f>(($Q$170*100/19.6)+$AG$544)*19.6%</f>
        <v>13.339759999999998</v>
      </c>
      <c r="AI544" s="761">
        <f>(($R$170*100/13)+$AG$544)*13%</f>
        <v>8.8478</v>
      </c>
      <c r="AJ544" s="764">
        <v>5934</v>
      </c>
      <c r="AK544" s="41"/>
      <c r="AL544" s="41"/>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250"/>
    </row>
    <row r="545" spans="1:60" ht="12.75">
      <c r="A545" s="293"/>
      <c r="B545" s="749"/>
      <c r="C545" s="749"/>
      <c r="D545" s="399"/>
      <c r="E545" s="463"/>
      <c r="F545" s="41"/>
      <c r="G545" s="571"/>
      <c r="H545" s="571"/>
      <c r="I545" s="41"/>
      <c r="J545" s="41"/>
      <c r="K545" s="404"/>
      <c r="L545" s="404"/>
      <c r="M545" s="41"/>
      <c r="N545" s="41"/>
      <c r="O545" s="139"/>
      <c r="P545" s="41"/>
      <c r="Q545" s="41"/>
      <c r="R545" s="147"/>
      <c r="S545" s="147"/>
      <c r="T545" s="750"/>
      <c r="U545" s="751"/>
      <c r="AC545" s="224"/>
      <c r="AD545" s="765" t="s">
        <v>1087</v>
      </c>
      <c r="AE545" s="755" t="s">
        <v>1088</v>
      </c>
      <c r="AF545" s="755" t="s">
        <v>1089</v>
      </c>
      <c r="AG545" s="754">
        <v>0.54</v>
      </c>
      <c r="AH545" s="754">
        <f>(($Q$182*100/19.6)+$AG$545)*19.6%</f>
        <v>3.6064</v>
      </c>
      <c r="AI545" s="754">
        <f>(($R$182*100/13)+$AG$545)*13%</f>
        <v>2.392000000000001</v>
      </c>
      <c r="AJ545" s="764">
        <v>5948</v>
      </c>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250"/>
    </row>
    <row r="546" spans="1:60" ht="12.75">
      <c r="A546" s="293"/>
      <c r="B546" s="749"/>
      <c r="C546" s="749"/>
      <c r="D546" s="399"/>
      <c r="E546" s="463"/>
      <c r="F546" s="41"/>
      <c r="G546" s="571"/>
      <c r="H546" s="571"/>
      <c r="I546" s="41"/>
      <c r="J546" s="41"/>
      <c r="K546" s="404"/>
      <c r="L546" s="404"/>
      <c r="M546" s="41"/>
      <c r="N546" s="41"/>
      <c r="O546" s="139"/>
      <c r="P546" s="41"/>
      <c r="Q546" s="41"/>
      <c r="R546" s="147"/>
      <c r="S546" s="147"/>
      <c r="T546" s="750"/>
      <c r="U546" s="751"/>
      <c r="AC546" s="224"/>
      <c r="AD546" s="769"/>
      <c r="AE546" s="758" t="s">
        <v>1090</v>
      </c>
      <c r="AF546" s="758"/>
      <c r="AG546" s="757"/>
      <c r="AH546" s="757"/>
      <c r="AI546" s="757"/>
      <c r="AJ546" s="764"/>
      <c r="AK546" s="41"/>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250"/>
    </row>
    <row r="547" spans="1:60" ht="12.75">
      <c r="A547" s="293"/>
      <c r="B547" s="749"/>
      <c r="C547" s="749"/>
      <c r="D547" s="399"/>
      <c r="E547" s="463"/>
      <c r="F547" s="41"/>
      <c r="G547" s="571"/>
      <c r="H547" s="571"/>
      <c r="I547" s="41"/>
      <c r="J547" s="41"/>
      <c r="K547" s="404"/>
      <c r="L547" s="404"/>
      <c r="M547" s="41"/>
      <c r="N547" s="41"/>
      <c r="O547" s="139"/>
      <c r="P547" s="41"/>
      <c r="Q547" s="41"/>
      <c r="R547" s="147"/>
      <c r="S547" s="147"/>
      <c r="T547" s="750"/>
      <c r="U547" s="751"/>
      <c r="AC547" s="224"/>
      <c r="AD547" s="766" t="s">
        <v>1091</v>
      </c>
      <c r="AE547" s="767" t="s">
        <v>1092</v>
      </c>
      <c r="AF547" s="767"/>
      <c r="AG547" s="768"/>
      <c r="AH547" s="768"/>
      <c r="AI547" s="768"/>
      <c r="AJ547" s="764">
        <v>5932</v>
      </c>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250"/>
    </row>
    <row r="548" spans="19:60" ht="12.75">
      <c r="S548" s="147"/>
      <c r="AC548" s="224"/>
      <c r="AD548" s="766"/>
      <c r="AE548" s="767" t="s">
        <v>1093</v>
      </c>
      <c r="AF548" s="767" t="s">
        <v>1094</v>
      </c>
      <c r="AG548" s="768">
        <v>0.54</v>
      </c>
      <c r="AH548" s="768">
        <f>(($Q$194*100/19.6)+$AG$548)*19.6%</f>
        <v>3.2438000000000002</v>
      </c>
      <c r="AI548" s="768">
        <f>(($R$194*100/13)+$AG$548)*13%</f>
        <v>2.1515</v>
      </c>
      <c r="AJ548" s="764"/>
      <c r="AK548" s="41"/>
      <c r="AL548" s="41"/>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250"/>
    </row>
    <row r="549" spans="19:60" ht="12.75">
      <c r="S549" s="147"/>
      <c r="AC549" s="224"/>
      <c r="AD549" s="766"/>
      <c r="AE549" s="767" t="s">
        <v>1095</v>
      </c>
      <c r="AF549" s="767"/>
      <c r="AG549" s="768"/>
      <c r="AH549" s="768"/>
      <c r="AI549" s="768"/>
      <c r="AJ549" s="764"/>
      <c r="AK549" s="41"/>
      <c r="AL549" s="41"/>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250"/>
    </row>
    <row r="550" spans="19:60" ht="12.75">
      <c r="S550" s="147"/>
      <c r="AD550" s="769"/>
      <c r="AE550" s="758" t="s">
        <v>1096</v>
      </c>
      <c r="AF550" s="758"/>
      <c r="AG550" s="757"/>
      <c r="AH550" s="757"/>
      <c r="AI550" s="757"/>
      <c r="AJ550" s="756"/>
      <c r="AK550" s="41"/>
      <c r="AL550" s="41"/>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250"/>
    </row>
  </sheetData>
  <mergeCells count="16">
    <mergeCell ref="E1:F1"/>
    <mergeCell ref="M1:R1"/>
    <mergeCell ref="AL1:AM1"/>
    <mergeCell ref="AO1:AP1"/>
    <mergeCell ref="AR1:AS1"/>
    <mergeCell ref="BA1:BB1"/>
    <mergeCell ref="M2:N2"/>
    <mergeCell ref="Q2:R2"/>
    <mergeCell ref="K3:L3"/>
    <mergeCell ref="M3:N3"/>
    <mergeCell ref="K4:L4"/>
    <mergeCell ref="M4:N4"/>
    <mergeCell ref="K6:L6"/>
    <mergeCell ref="C101:C102"/>
    <mergeCell ref="AG448:AH448"/>
    <mergeCell ref="AH513:AI513"/>
  </mergeCells>
  <printOptions horizontalCentered="1" verticalCentered="1"/>
  <pageMargins left="0.7875" right="0.7875" top="0.9840277777777778" bottom="0.9840277777777778" header="0.5118055555555556" footer="0.5118055555555556"/>
  <pageSetup fitToHeight="0" horizontalDpi="300" verticalDpi="300" orientation="landscape" paperSize="9" scale="85" r:id="rId1"/>
  <rowBreaks count="13" manualBreakCount="13">
    <brk id="37" max="255" man="1"/>
    <brk id="66" max="255" man="1"/>
    <brk id="94" max="255" man="1"/>
    <brk id="120" max="255" man="1"/>
    <brk id="149" max="255" man="1"/>
    <brk id="177" max="255" man="1"/>
    <brk id="201" max="255" man="1"/>
    <brk id="227" max="255" man="1"/>
    <brk id="260" max="255" man="1"/>
    <brk id="288" max="255" man="1"/>
    <brk id="322" max="255" man="1"/>
    <brk id="345" max="255" man="1"/>
    <brk id="37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SALAUN</cp:lastModifiedBy>
  <cp:lastPrinted>2004-09-13T12:19:53Z</cp:lastPrinted>
  <dcterms:created xsi:type="dcterms:W3CDTF">2001-08-16T13:28:20Z</dcterms:created>
  <dcterms:modified xsi:type="dcterms:W3CDTF">2004-09-13T12:20:07Z</dcterms:modified>
  <cp:category/>
  <cp:version/>
  <cp:contentType/>
  <cp:contentStatus/>
  <cp:revision>14</cp:revision>
</cp:coreProperties>
</file>